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9990" windowHeight="582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Расходы!$A$1:$O$160</definedName>
  </definedNames>
  <calcPr calcId="145621"/>
</workbook>
</file>

<file path=xl/calcChain.xml><?xml version="1.0" encoding="utf-8"?>
<calcChain xmlns="http://schemas.openxmlformats.org/spreadsheetml/2006/main">
  <c r="H133" i="3" l="1"/>
  <c r="H31" i="3"/>
  <c r="E13" i="4" l="1"/>
  <c r="J154" i="3"/>
  <c r="J91" i="3"/>
  <c r="J131" i="3"/>
  <c r="J126" i="3"/>
  <c r="J31" i="3"/>
  <c r="J24" i="3"/>
  <c r="J23" i="3"/>
  <c r="E37" i="2" l="1"/>
  <c r="E35" i="2"/>
  <c r="E32" i="2"/>
  <c r="E22" i="2"/>
  <c r="E20" i="2"/>
  <c r="H131" i="3" l="1"/>
  <c r="H101" i="3" l="1"/>
  <c r="H74" i="3"/>
  <c r="H155" i="3"/>
  <c r="H136" i="3"/>
  <c r="H94" i="3"/>
  <c r="H91" i="3"/>
  <c r="H71" i="3"/>
  <c r="H25" i="3"/>
  <c r="H22" i="3"/>
  <c r="D44" i="2"/>
  <c r="J150" i="3"/>
  <c r="J18" i="3"/>
  <c r="J143" i="3"/>
  <c r="J140" i="3"/>
  <c r="J138" i="3"/>
  <c r="J132" i="3"/>
  <c r="J128" i="3"/>
  <c r="J112" i="3"/>
  <c r="J108" i="3"/>
  <c r="J98" i="3"/>
  <c r="J71" i="3"/>
  <c r="J68" i="3"/>
  <c r="J41" i="3"/>
  <c r="J40" i="3"/>
  <c r="J22" i="3"/>
  <c r="J21" i="3"/>
  <c r="J17" i="3"/>
  <c r="J15" i="3"/>
  <c r="J142" i="3"/>
  <c r="J97" i="3"/>
  <c r="J20" i="3"/>
  <c r="J27" i="3" l="1"/>
  <c r="J115" i="3"/>
  <c r="J94" i="3"/>
  <c r="J136" i="3"/>
  <c r="J133" i="3"/>
  <c r="J55" i="3"/>
  <c r="J155" i="3"/>
  <c r="J37" i="3"/>
  <c r="J26" i="3"/>
  <c r="M74" i="3"/>
  <c r="N74" i="3" s="1"/>
  <c r="J127" i="3"/>
  <c r="J16" i="3"/>
  <c r="H145" i="3" l="1"/>
  <c r="H108" i="3"/>
  <c r="H73" i="3"/>
  <c r="H28" i="3"/>
  <c r="H24" i="3"/>
  <c r="H21" i="3"/>
  <c r="J130" i="3" l="1"/>
  <c r="J145" i="3"/>
  <c r="J30" i="3" l="1"/>
  <c r="J123" i="3"/>
  <c r="J73" i="3"/>
  <c r="H114" i="3" l="1"/>
  <c r="H99" i="3"/>
  <c r="H72" i="3"/>
  <c r="H17" i="3"/>
  <c r="H15" i="3"/>
  <c r="J43" i="3"/>
  <c r="J72" i="3"/>
  <c r="J99" i="3"/>
  <c r="J147" i="3"/>
  <c r="J114" i="3"/>
  <c r="H39" i="2" l="1"/>
  <c r="H48" i="3" l="1"/>
  <c r="H49" i="3"/>
  <c r="J110" i="3" l="1"/>
  <c r="J19" i="3"/>
  <c r="J48" i="3"/>
  <c r="E55" i="2" l="1"/>
  <c r="E64" i="2"/>
  <c r="H73" i="2"/>
  <c r="I73" i="2" s="1"/>
  <c r="H74" i="2"/>
  <c r="I74" i="2"/>
  <c r="H115" i="3" l="1"/>
  <c r="J101" i="3" l="1"/>
  <c r="J25" i="3" l="1"/>
  <c r="J36" i="3" l="1"/>
  <c r="J153" i="3"/>
  <c r="J29" i="3" l="1"/>
  <c r="H29" i="3" l="1"/>
  <c r="H27" i="3"/>
  <c r="J149" i="3" l="1"/>
  <c r="M37" i="3" l="1"/>
  <c r="N37" i="3" s="1"/>
  <c r="L36" i="3"/>
  <c r="K36" i="3"/>
  <c r="M36" i="3" s="1"/>
  <c r="N36" i="3" s="1"/>
  <c r="H36" i="3"/>
  <c r="L38" i="3"/>
  <c r="K38" i="3"/>
  <c r="H38" i="3"/>
  <c r="N35" i="3"/>
  <c r="M35" i="3"/>
  <c r="J28" i="3" l="1"/>
  <c r="H132" i="3" l="1"/>
  <c r="J111" i="3" l="1"/>
  <c r="J148" i="3"/>
  <c r="J137" i="3"/>
  <c r="J125" i="3"/>
  <c r="J121" i="3"/>
  <c r="J120" i="3" s="1"/>
  <c r="J116" i="3"/>
  <c r="J106" i="3"/>
  <c r="J102" i="3"/>
  <c r="J96" i="3"/>
  <c r="J85" i="3"/>
  <c r="J70" i="3"/>
  <c r="J67" i="3"/>
  <c r="J60" i="3"/>
  <c r="J56" i="3"/>
  <c r="J52" i="3"/>
  <c r="J39" i="3"/>
  <c r="J38" i="3" s="1"/>
  <c r="M38" i="3" s="1"/>
  <c r="N38" i="3" s="1"/>
  <c r="J14" i="3"/>
  <c r="J7" i="3" l="1"/>
  <c r="J66" i="3"/>
  <c r="J124" i="3"/>
  <c r="J95" i="3"/>
  <c r="J79" i="3" s="1"/>
  <c r="J47" i="3"/>
  <c r="J6" i="3" l="1"/>
  <c r="E23" i="2"/>
  <c r="H26" i="3" l="1"/>
  <c r="H112" i="3"/>
  <c r="D17" i="2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7" i="3" l="1"/>
  <c r="M72" i="3" l="1"/>
  <c r="N72" i="3" s="1"/>
  <c r="M51" i="3" l="1"/>
  <c r="N51" i="3" s="1"/>
  <c r="H56" i="3" l="1"/>
  <c r="M61" i="3"/>
  <c r="N61" i="3"/>
  <c r="M57" i="3"/>
  <c r="N57" i="3" s="1"/>
  <c r="H60" i="3" l="1"/>
  <c r="M62" i="3"/>
  <c r="N62" i="3" s="1"/>
  <c r="N60" i="3" s="1"/>
  <c r="M60" i="3" l="1"/>
  <c r="E43" i="2" l="1"/>
  <c r="M18" i="3" l="1"/>
  <c r="N18" i="3" s="1"/>
  <c r="E36" i="2"/>
  <c r="I35" i="2"/>
  <c r="M108" i="3"/>
  <c r="N108" i="3" s="1"/>
  <c r="M41" i="3"/>
  <c r="N41" i="3" s="1"/>
  <c r="M101" i="3"/>
  <c r="M134" i="3"/>
  <c r="N134" i="3" s="1"/>
  <c r="H96" i="3"/>
  <c r="M28" i="3"/>
  <c r="N28" i="3" s="1"/>
  <c r="D34" i="2"/>
  <c r="D36" i="2"/>
  <c r="D31" i="2"/>
  <c r="D38" i="2"/>
  <c r="D43" i="2"/>
  <c r="D64" i="2"/>
  <c r="H52" i="3"/>
  <c r="H14" i="3"/>
  <c r="H7" i="3" s="1"/>
  <c r="H106" i="3"/>
  <c r="H111" i="3"/>
  <c r="H125" i="3"/>
  <c r="H67" i="3"/>
  <c r="E19" i="2"/>
  <c r="E17" i="2" s="1"/>
  <c r="E31" i="2"/>
  <c r="E34" i="2"/>
  <c r="E40" i="2"/>
  <c r="E51" i="2"/>
  <c r="E58" i="2"/>
  <c r="E38" i="2"/>
  <c r="M96" i="3"/>
  <c r="M30" i="3"/>
  <c r="N30" i="3" s="1"/>
  <c r="E60" i="2"/>
  <c r="H62" i="2"/>
  <c r="I62" i="2" s="1"/>
  <c r="H61" i="2"/>
  <c r="I61" i="2" s="1"/>
  <c r="D60" i="2"/>
  <c r="F60" i="2"/>
  <c r="G60" i="2"/>
  <c r="M91" i="3"/>
  <c r="N91" i="3" s="1"/>
  <c r="M78" i="3"/>
  <c r="N78" i="3" s="1"/>
  <c r="H70" i="3"/>
  <c r="M75" i="3"/>
  <c r="N75" i="3" s="1"/>
  <c r="H85" i="3"/>
  <c r="M90" i="3"/>
  <c r="N90" i="3" s="1"/>
  <c r="M99" i="3"/>
  <c r="N99" i="3" s="1"/>
  <c r="M58" i="3"/>
  <c r="N58" i="3" s="1"/>
  <c r="N56" i="3" s="1"/>
  <c r="M59" i="3"/>
  <c r="M63" i="3"/>
  <c r="N63" i="3" s="1"/>
  <c r="M49" i="3"/>
  <c r="M50" i="3"/>
  <c r="N50" i="3" s="1"/>
  <c r="L56" i="3"/>
  <c r="L60" i="3"/>
  <c r="L48" i="3"/>
  <c r="K56" i="3"/>
  <c r="K60" i="3"/>
  <c r="K48" i="3"/>
  <c r="H64" i="3"/>
  <c r="M68" i="3"/>
  <c r="M69" i="3"/>
  <c r="N69" i="3" s="1"/>
  <c r="M71" i="3"/>
  <c r="N71" i="3" s="1"/>
  <c r="M73" i="3"/>
  <c r="N73" i="3" s="1"/>
  <c r="K76" i="3"/>
  <c r="L76" i="3"/>
  <c r="L67" i="3"/>
  <c r="L70" i="3"/>
  <c r="K67" i="3"/>
  <c r="K70" i="3"/>
  <c r="M27" i="3"/>
  <c r="N27" i="3" s="1"/>
  <c r="M26" i="3"/>
  <c r="N26" i="3" s="1"/>
  <c r="M24" i="3"/>
  <c r="M22" i="3"/>
  <c r="N22" i="3" s="1"/>
  <c r="M65" i="3"/>
  <c r="N65" i="3" s="1"/>
  <c r="M98" i="3"/>
  <c r="N98" i="3" s="1"/>
  <c r="H102" i="3"/>
  <c r="H116" i="3"/>
  <c r="M87" i="3"/>
  <c r="N87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80" i="3"/>
  <c r="K121" i="3"/>
  <c r="K120" i="3" s="1"/>
  <c r="K116" i="3" s="1"/>
  <c r="L121" i="3"/>
  <c r="L120" i="3" s="1"/>
  <c r="L116" i="3" s="1"/>
  <c r="H71" i="2"/>
  <c r="I71" i="2" s="1"/>
  <c r="H8" i="3"/>
  <c r="H11" i="3"/>
  <c r="H32" i="3"/>
  <c r="H34" i="3"/>
  <c r="H137" i="3"/>
  <c r="H39" i="3"/>
  <c r="H149" i="3"/>
  <c r="H151" i="3"/>
  <c r="H121" i="3"/>
  <c r="H120" i="3" s="1"/>
  <c r="H154" i="3"/>
  <c r="H153" i="3" s="1"/>
  <c r="H54" i="2"/>
  <c r="I54" i="2" s="1"/>
  <c r="H53" i="2"/>
  <c r="I53" i="2" s="1"/>
  <c r="H70" i="2"/>
  <c r="I70" i="2" s="1"/>
  <c r="M94" i="3"/>
  <c r="N94" i="3" s="1"/>
  <c r="K34" i="3"/>
  <c r="M34" i="3" s="1"/>
  <c r="L34" i="3"/>
  <c r="D19" i="2"/>
  <c r="D16" i="2" s="1"/>
  <c r="D47" i="2"/>
  <c r="D46" i="2"/>
  <c r="D42" i="2" s="1"/>
  <c r="D15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L39" i="3"/>
  <c r="K80" i="3"/>
  <c r="K85" i="3"/>
  <c r="K96" i="3"/>
  <c r="K102" i="3"/>
  <c r="K106" i="3"/>
  <c r="K111" i="3"/>
  <c r="L80" i="3"/>
  <c r="L85" i="3"/>
  <c r="L96" i="3"/>
  <c r="L102" i="3"/>
  <c r="L106" i="3"/>
  <c r="L111" i="3"/>
  <c r="M155" i="3"/>
  <c r="N155" i="3" s="1"/>
  <c r="M156" i="3"/>
  <c r="N156" i="3" s="1"/>
  <c r="M123" i="3"/>
  <c r="M122" i="3"/>
  <c r="N122" i="3" s="1"/>
  <c r="M126" i="3"/>
  <c r="M127" i="3"/>
  <c r="M128" i="3"/>
  <c r="N128" i="3" s="1"/>
  <c r="M130" i="3"/>
  <c r="N130" i="3" s="1"/>
  <c r="M131" i="3"/>
  <c r="N131" i="3" s="1"/>
  <c r="M132" i="3"/>
  <c r="N132" i="3" s="1"/>
  <c r="M133" i="3"/>
  <c r="N133" i="3" s="1"/>
  <c r="M136" i="3"/>
  <c r="N136" i="3" s="1"/>
  <c r="M129" i="3"/>
  <c r="N129" i="3" s="1"/>
  <c r="M135" i="3"/>
  <c r="N135" i="3" s="1"/>
  <c r="M138" i="3"/>
  <c r="N138" i="3" s="1"/>
  <c r="M139" i="3"/>
  <c r="N139" i="3" s="1"/>
  <c r="M140" i="3"/>
  <c r="N140" i="3" s="1"/>
  <c r="M142" i="3"/>
  <c r="N142" i="3" s="1"/>
  <c r="M143" i="3"/>
  <c r="N143" i="3" s="1"/>
  <c r="M144" i="3"/>
  <c r="M147" i="3"/>
  <c r="N147" i="3" s="1"/>
  <c r="M141" i="3"/>
  <c r="N141" i="3" s="1"/>
  <c r="M145" i="3"/>
  <c r="N145" i="3" s="1"/>
  <c r="M146" i="3"/>
  <c r="N146" i="3" s="1"/>
  <c r="K149" i="3"/>
  <c r="L149" i="3"/>
  <c r="K151" i="3"/>
  <c r="L151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4" i="3"/>
  <c r="N44" i="3" s="1"/>
  <c r="K154" i="3"/>
  <c r="K153" i="3" s="1"/>
  <c r="L154" i="3"/>
  <c r="L153" i="3" s="1"/>
  <c r="M82" i="3"/>
  <c r="N82" i="3" s="1"/>
  <c r="M83" i="3"/>
  <c r="N83" i="3" s="1"/>
  <c r="M84" i="3"/>
  <c r="N84" i="3" s="1"/>
  <c r="M77" i="3"/>
  <c r="N77" i="3" s="1"/>
  <c r="M53" i="3"/>
  <c r="N53" i="3" s="1"/>
  <c r="M54" i="3"/>
  <c r="N54" i="3" s="1"/>
  <c r="M55" i="3"/>
  <c r="N55" i="3" s="1"/>
  <c r="M40" i="3"/>
  <c r="N40" i="3" s="1"/>
  <c r="M42" i="3"/>
  <c r="N42" i="3" s="1"/>
  <c r="M43" i="3"/>
  <c r="N43" i="3" s="1"/>
  <c r="M45" i="3"/>
  <c r="N45" i="3" s="1"/>
  <c r="M46" i="3"/>
  <c r="N46" i="3" s="1"/>
  <c r="K125" i="3"/>
  <c r="K137" i="3"/>
  <c r="L125" i="3"/>
  <c r="L137" i="3"/>
  <c r="M81" i="3"/>
  <c r="N81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5" i="3"/>
  <c r="M86" i="3"/>
  <c r="N86" i="3" s="1"/>
  <c r="M88" i="3"/>
  <c r="N88" i="3" s="1"/>
  <c r="M92" i="3"/>
  <c r="N92" i="3" s="1"/>
  <c r="M93" i="3"/>
  <c r="N93" i="3" s="1"/>
  <c r="M97" i="3"/>
  <c r="N97" i="3" s="1"/>
  <c r="M100" i="3"/>
  <c r="N100" i="3" s="1"/>
  <c r="M102" i="3"/>
  <c r="N102" i="3" s="1"/>
  <c r="M103" i="3"/>
  <c r="N103" i="3"/>
  <c r="M104" i="3"/>
  <c r="N104" i="3" s="1"/>
  <c r="M105" i="3"/>
  <c r="N105" i="3" s="1"/>
  <c r="M107" i="3"/>
  <c r="N107" i="3" s="1"/>
  <c r="M109" i="3"/>
  <c r="N109" i="3" s="1"/>
  <c r="M110" i="3"/>
  <c r="N110" i="3" s="1"/>
  <c r="M112" i="3"/>
  <c r="N112" i="3" s="1"/>
  <c r="M113" i="3"/>
  <c r="N113" i="3" s="1"/>
  <c r="M114" i="3"/>
  <c r="N114" i="3" s="1"/>
  <c r="M115" i="3"/>
  <c r="N115" i="3" s="1"/>
  <c r="M150" i="3"/>
  <c r="N150" i="3" s="1"/>
  <c r="M152" i="3"/>
  <c r="N152" i="3" s="1"/>
  <c r="E16" i="2" l="1"/>
  <c r="F33" i="2"/>
  <c r="D33" i="2"/>
  <c r="D30" i="2" s="1"/>
  <c r="H40" i="2"/>
  <c r="H47" i="2"/>
  <c r="I47" i="2" s="1"/>
  <c r="H60" i="2"/>
  <c r="I60" i="2" s="1"/>
  <c r="H31" i="2"/>
  <c r="I31" i="2" s="1"/>
  <c r="L124" i="3"/>
  <c r="L66" i="3"/>
  <c r="H148" i="3"/>
  <c r="M76" i="3"/>
  <c r="M48" i="3"/>
  <c r="M14" i="3"/>
  <c r="N14" i="3" s="1"/>
  <c r="L47" i="3"/>
  <c r="K124" i="3"/>
  <c r="L148" i="3"/>
  <c r="K47" i="3"/>
  <c r="I69" i="2"/>
  <c r="H64" i="2"/>
  <c r="I64" i="2" s="1"/>
  <c r="L95" i="3"/>
  <c r="K66" i="3"/>
  <c r="M56" i="3"/>
  <c r="N101" i="3"/>
  <c r="M111" i="3"/>
  <c r="N111" i="3" s="1"/>
  <c r="K148" i="3"/>
  <c r="M32" i="3"/>
  <c r="N32" i="3" s="1"/>
  <c r="M67" i="3"/>
  <c r="N24" i="3"/>
  <c r="H38" i="2"/>
  <c r="I38" i="2" s="1"/>
  <c r="N96" i="3"/>
  <c r="H46" i="2"/>
  <c r="I46" i="2" s="1"/>
  <c r="H6" i="4"/>
  <c r="I6" i="4" s="1"/>
  <c r="H19" i="2"/>
  <c r="I19" i="2" s="1"/>
  <c r="I52" i="2"/>
  <c r="N126" i="3"/>
  <c r="K95" i="3"/>
  <c r="H36" i="2"/>
  <c r="I36" i="2" s="1"/>
  <c r="F30" i="2"/>
  <c r="N89" i="3"/>
  <c r="N34" i="3"/>
  <c r="H95" i="3"/>
  <c r="H79" i="3" s="1"/>
  <c r="N68" i="3"/>
  <c r="N67" i="3" s="1"/>
  <c r="M106" i="3"/>
  <c r="N106" i="3" s="1"/>
  <c r="N80" i="3"/>
  <c r="M151" i="3"/>
  <c r="N151" i="3" s="1"/>
  <c r="H58" i="2"/>
  <c r="I58" i="2" s="1"/>
  <c r="M11" i="3"/>
  <c r="N11" i="3" s="1"/>
  <c r="N49" i="3"/>
  <c r="N48" i="3" s="1"/>
  <c r="N59" i="3"/>
  <c r="N85" i="3"/>
  <c r="N76" i="3"/>
  <c r="H66" i="3"/>
  <c r="G42" i="2"/>
  <c r="E33" i="2"/>
  <c r="E30" i="2" s="1"/>
  <c r="I40" i="2"/>
  <c r="H34" i="2"/>
  <c r="I34" i="2" s="1"/>
  <c r="M149" i="3"/>
  <c r="M148" i="3" s="1"/>
  <c r="H28" i="2"/>
  <c r="I28" i="2" s="1"/>
  <c r="H124" i="3"/>
  <c r="M116" i="3"/>
  <c r="N116" i="3" s="1"/>
  <c r="H47" i="3"/>
  <c r="M137" i="3"/>
  <c r="N144" i="3"/>
  <c r="N137" i="3" s="1"/>
  <c r="N70" i="3"/>
  <c r="M70" i="3"/>
  <c r="H11" i="4"/>
  <c r="I11" i="4" s="1"/>
  <c r="M39" i="3"/>
  <c r="M52" i="3"/>
  <c r="M154" i="3"/>
  <c r="M153" i="3" s="1"/>
  <c r="H43" i="2"/>
  <c r="I43" i="2" s="1"/>
  <c r="I65" i="2"/>
  <c r="N127" i="3"/>
  <c r="M125" i="3"/>
  <c r="N123" i="3"/>
  <c r="N121" i="3" s="1"/>
  <c r="N120" i="3" s="1"/>
  <c r="M121" i="3"/>
  <c r="M120" i="3" s="1"/>
  <c r="K7" i="3"/>
  <c r="G55" i="2"/>
  <c r="H55" i="2" s="1"/>
  <c r="I55" i="2" s="1"/>
  <c r="H56" i="2"/>
  <c r="I56" i="2" s="1"/>
  <c r="D49" i="2"/>
  <c r="L79" i="3"/>
  <c r="M80" i="3"/>
  <c r="N39" i="3"/>
  <c r="N154" i="3"/>
  <c r="N153" i="3" s="1"/>
  <c r="G33" i="2"/>
  <c r="G30" i="2" s="1"/>
  <c r="N52" i="3"/>
  <c r="K79" i="3"/>
  <c r="L7" i="3"/>
  <c r="F42" i="2"/>
  <c r="F50" i="2"/>
  <c r="H51" i="2"/>
  <c r="I51" i="2" s="1"/>
  <c r="H42" i="2" l="1"/>
  <c r="I42" i="2" s="1"/>
  <c r="G15" i="2"/>
  <c r="H6" i="3"/>
  <c r="M66" i="3"/>
  <c r="H16" i="2"/>
  <c r="I16" i="2" s="1"/>
  <c r="E15" i="2"/>
  <c r="E14" i="2" s="1"/>
  <c r="M47" i="3"/>
  <c r="H17" i="2"/>
  <c r="I17" i="2" s="1"/>
  <c r="N66" i="3"/>
  <c r="N125" i="3"/>
  <c r="N124" i="3" s="1"/>
  <c r="N149" i="3"/>
  <c r="N148" i="3" s="1"/>
  <c r="H33" i="2"/>
  <c r="I33" i="2" s="1"/>
  <c r="L6" i="3"/>
  <c r="N47" i="3"/>
  <c r="M124" i="3"/>
  <c r="H50" i="2"/>
  <c r="I50" i="2" s="1"/>
  <c r="F49" i="2"/>
  <c r="H49" i="2" s="1"/>
  <c r="I49" i="2" s="1"/>
  <c r="D14" i="2"/>
  <c r="D63" i="2"/>
  <c r="F15" i="2"/>
  <c r="H30" i="2"/>
  <c r="I30" i="2" s="1"/>
  <c r="K6" i="3"/>
  <c r="G14" i="2"/>
  <c r="G63" i="2"/>
  <c r="M7" i="3"/>
  <c r="L159" i="3" l="1"/>
  <c r="E63" i="2"/>
  <c r="M79" i="3"/>
  <c r="M95" i="3"/>
  <c r="N95" i="3" s="1"/>
  <c r="F63" i="2"/>
  <c r="F14" i="2"/>
  <c r="K159" i="3" s="1"/>
  <c r="N7" i="3"/>
  <c r="H159" i="3"/>
  <c r="H15" i="2"/>
  <c r="I15" i="2" s="1"/>
  <c r="H63" i="2" l="1"/>
  <c r="I63" i="2" s="1"/>
  <c r="N79" i="3"/>
  <c r="N6" i="3" s="1"/>
  <c r="M6" i="3"/>
  <c r="H14" i="2"/>
  <c r="J159" i="3" s="1"/>
  <c r="M159" i="3" l="1"/>
  <c r="I14" i="2"/>
  <c r="N159" i="3" s="1"/>
</calcChain>
</file>

<file path=xl/sharedStrings.xml><?xml version="1.0" encoding="utf-8"?>
<sst xmlns="http://schemas.openxmlformats.org/spreadsheetml/2006/main" count="1252" uniqueCount="352">
  <si>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</si>
  <si>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</si>
  <si>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</si>
  <si>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</si>
  <si>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</si>
  <si>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</si>
  <si>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</si>
  <si>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</si>
  <si>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</si>
  <si>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</si>
  <si>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</si>
  <si>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</si>
  <si>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</si>
  <si>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</si>
  <si>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</si>
  <si>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</si>
  <si>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</si>
  <si>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</si>
  <si>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</si>
  <si>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</si>
  <si>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</si>
  <si>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</si>
  <si>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</si>
  <si>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</si>
  <si>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</si>
  <si>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</si>
  <si>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</si>
  <si>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</si>
  <si>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</si>
  <si>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</si>
  <si>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</si>
  <si>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</si>
  <si>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</si>
  <si>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</si>
  <si>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</si>
  <si>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</si>
  <si>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</si>
  <si>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</si>
  <si>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</si>
  <si>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</si>
  <si>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</si>
  <si>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</si>
  <si>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</si>
  <si>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</si>
  <si>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</si>
  <si>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</si>
  <si>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</si>
  <si>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</si>
  <si>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</si>
  <si>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</si>
  <si>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</si>
  <si>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</si>
  <si>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</si>
  <si>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</si>
  <si>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</si>
  <si>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</si>
  <si>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</si>
  <si>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</si>
  <si>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</si>
  <si>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</si>
  <si>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</si>
  <si>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</si>
  <si>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</si>
  <si>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</si>
  <si>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</si>
  <si>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</si>
  <si>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</si>
  <si>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</si>
  <si>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</si>
  <si>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</si>
  <si>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</si>
  <si>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</si>
  <si>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</si>
  <si>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</si>
  <si>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</si>
  <si>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</si>
  <si>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</si>
  <si>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</si>
  <si>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</si>
  <si>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</si>
  <si>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</si>
  <si>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</si>
  <si>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</si>
  <si>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</si>
  <si>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</si>
  <si>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</si>
  <si>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</si>
  <si>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</si>
  <si>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</si>
  <si>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</si>
  <si>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</si>
  <si>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</si>
  <si>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</si>
  <si>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</si>
  <si>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</si>
  <si>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</si>
  <si>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</si>
  <si>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</si>
  <si>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</si>
  <si>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</si>
  <si>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</si>
  <si>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</si>
  <si>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</si>
  <si>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</si>
  <si>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</si>
  <si>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</si>
  <si>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</si>
  <si>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</si>
  <si>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</si>
  <si>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</si>
  <si>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</si>
  <si>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</si>
  <si>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</si>
  <si>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</si>
  <si>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</si>
  <si>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</si>
  <si>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</si>
  <si>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</si>
  <si>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</si>
  <si>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</si>
  <si>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</si>
  <si>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</si>
  <si>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</si>
  <si>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</si>
  <si>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</si>
  <si>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</si>
  <si>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</si>
  <si>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</si>
  <si>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</si>
  <si>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</si>
  <si>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</si>
  <si>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</si>
  <si>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</si>
  <si>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</si>
  <si>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</si>
  <si>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</si>
  <si>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</si>
  <si>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</si>
  <si>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</si>
  <si>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</si>
  <si>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</si>
  <si>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</si>
  <si>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</si>
  <si>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</si>
  <si>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</si>
  <si>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</si>
  <si>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</si>
  <si>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</si>
  <si>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</si>
  <si>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</si>
  <si>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</si>
  <si>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</si>
  <si>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</si>
  <si>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</si>
  <si>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</si>
  <si>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</si>
  <si>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</si>
  <si>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</si>
  <si>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</si>
  <si>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</si>
  <si>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</si>
  <si>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</si>
  <si>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</si>
  <si>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</si>
  <si>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</si>
  <si>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</si>
  <si>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</si>
  <si>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</si>
  <si>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</si>
  <si>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</si>
  <si>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</si>
  <si>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</si>
  <si>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</si>
  <si>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</si>
  <si>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</si>
  <si>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</si>
  <si>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</si>
  <si>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</si>
  <si>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</si>
  <si>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</si>
  <si>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</si>
  <si>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</si>
  <si>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</si>
  <si>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</si>
  <si>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</si>
  <si>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</si>
  <si>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</si>
  <si>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</si>
  <si>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</si>
  <si>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</si>
  <si>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</si>
  <si>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</si>
  <si>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</si>
  <si>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</si>
  <si>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</si>
  <si>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</si>
  <si>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</si>
  <si>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</si>
  <si>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</si>
  <si>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</si>
  <si>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</si>
  <si>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</si>
  <si>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</si>
  <si>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</si>
  <si>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</si>
  <si>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</si>
  <si>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</si>
  <si>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</si>
  <si>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</si>
  <si>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</si>
  <si>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</si>
  <si>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</si>
  <si>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</si>
  <si>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</si>
  <si>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</si>
  <si>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</si>
  <si>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</si>
  <si>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</si>
  <si>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</si>
  <si>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</si>
  <si>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</si>
  <si>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</si>
  <si>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</si>
  <si>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</si>
  <si>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</si>
  <si>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</si>
  <si>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</si>
  <si>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</si>
  <si>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</si>
  <si>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</si>
  <si>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</si>
  <si>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</si>
  <si>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</si>
  <si>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</si>
  <si>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</si>
  <si>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</si>
  <si>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</si>
  <si>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</si>
  <si>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</si>
  <si>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</si>
  <si>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</si>
  <si>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</si>
  <si>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</si>
  <si>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</si>
  <si>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</si>
  <si>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</si>
  <si>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</si>
  <si>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</si>
  <si>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</si>
  <si>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</si>
  <si>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</si>
  <si>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</si>
  <si>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</si>
  <si>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</si>
  <si>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</si>
  <si>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</si>
  <si>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</si>
  <si>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</si>
  <si>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</si>
  <si>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</si>
  <si>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</si>
  <si>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</si>
  <si>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</si>
  <si>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</si>
  <si>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</si>
  <si>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</si>
  <si>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</si>
  <si>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</si>
  <si>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</si>
  <si>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</si>
  <si>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</si>
  <si>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</si>
  <si>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</si>
  <si>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</si>
  <si>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</si>
  <si>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</si>
  <si>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</si>
  <si>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</si>
  <si>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</si>
  <si>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</si>
  <si>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</si>
  <si>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</si>
  <si>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</si>
  <si>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</si>
  <si>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</si>
  <si>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</si>
  <si>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</si>
  <si>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</si>
  <si>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</si>
  <si>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</si>
  <si>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</si>
  <si>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</si>
  <si>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</si>
  <si>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</si>
  <si>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</si>
  <si>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</si>
  <si>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</si>
  <si>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</si>
  <si>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</si>
  <si>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</si>
  <si>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</si>
  <si>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</si>
  <si>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</si>
  <si>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</si>
  <si>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</si>
  <si>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</si>
  <si>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</si>
  <si>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</si>
  <si>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</si>
  <si>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</si>
  <si>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</si>
  <si>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</si>
  <si>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</si>
  <si>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</si>
  <si>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</si>
  <si>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</si>
  <si>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</si>
  <si>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</si>
  <si>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</si>
  <si>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</si>
  <si>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</si>
  <si>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</si>
  <si>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</si>
  <si>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</si>
  <si>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</si>
  <si>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</si>
  <si>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</si>
  <si>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</si>
  <si>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</si>
  <si>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</si>
  <si>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</si>
  <si>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</si>
  <si>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</si>
  <si>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</si>
  <si>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</si>
  <si>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</si>
  <si>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</si>
  <si>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</si>
  <si>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</si>
  <si>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</si>
  <si>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</si>
  <si>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</si>
  <si>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</si>
  <si>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</si>
  <si>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</si>
  <si>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</si>
  <si>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</si>
  <si>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8115930</t>
  </si>
  <si>
    <t>301  202  02077  10  0000  151</t>
  </si>
  <si>
    <t>0175018</t>
  </si>
  <si>
    <t>414</t>
  </si>
  <si>
    <t>на 1 октября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</si>
</sst>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="80" zoomScaleNormal="80" zoomScaleSheetLayoutView="80" workbookViewId="0">
      <pane xSplit="3" ySplit="13" topLeftCell="D26" activePane="bottomRight" state="frozen"/>
      <selection pane="topRight" activeCell="D1" sqref="D1"/>
      <selection pane="bottomLeft" activeCell="A14" sqref="A14"/>
      <selection pane="bottomRight" activeCell="F64" sqref="F64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76" t="s">
        <v>84</v>
      </c>
      <c r="B1" s="276"/>
      <c r="C1" s="276"/>
      <c r="D1" s="276"/>
      <c r="E1" s="276"/>
      <c r="F1" s="276"/>
      <c r="G1" s="276"/>
      <c r="H1" s="276"/>
      <c r="I1" s="19"/>
      <c r="J1" s="19"/>
    </row>
    <row r="2" spans="1:10" s="20" customFormat="1" ht="15" x14ac:dyDescent="0.25">
      <c r="A2" s="276" t="s">
        <v>262</v>
      </c>
      <c r="B2" s="276"/>
      <c r="C2" s="276"/>
      <c r="D2" s="276"/>
      <c r="E2" s="276"/>
      <c r="F2" s="276"/>
      <c r="G2" s="276"/>
      <c r="H2" s="276"/>
      <c r="I2" s="276"/>
      <c r="J2" s="19"/>
    </row>
    <row r="3" spans="1:10" s="20" customFormat="1" ht="15" x14ac:dyDescent="0.25">
      <c r="A3" s="276" t="s">
        <v>137</v>
      </c>
      <c r="B3" s="276"/>
      <c r="C3" s="276"/>
      <c r="D3" s="276"/>
      <c r="E3" s="276"/>
      <c r="F3" s="276"/>
      <c r="G3" s="276"/>
      <c r="H3" s="276"/>
      <c r="I3" s="276"/>
      <c r="J3" s="19"/>
    </row>
    <row r="4" spans="1:10" s="20" customFormat="1" ht="15.75" thickBot="1" x14ac:dyDescent="0.3">
      <c r="A4" s="19"/>
      <c r="B4" s="178"/>
      <c r="C4" s="276" t="s">
        <v>351</v>
      </c>
      <c r="D4" s="276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75" t="s">
        <v>265</v>
      </c>
      <c r="C6" s="275"/>
      <c r="D6" s="275"/>
      <c r="E6" s="275"/>
      <c r="F6" s="275"/>
      <c r="G6" s="275"/>
      <c r="H6" s="275"/>
      <c r="I6" s="183"/>
    </row>
    <row r="7" spans="1:10" s="20" customFormat="1" x14ac:dyDescent="0.2">
      <c r="A7" s="22" t="s">
        <v>264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74" t="s">
        <v>0</v>
      </c>
      <c r="B10" s="274"/>
      <c r="C10" s="274"/>
    </row>
    <row r="11" spans="1:10" s="6" customFormat="1" ht="14.25" customHeight="1" x14ac:dyDescent="0.2">
      <c r="A11" s="270" t="s">
        <v>4</v>
      </c>
      <c r="B11" s="264" t="s">
        <v>3</v>
      </c>
      <c r="C11" s="272" t="s">
        <v>143</v>
      </c>
      <c r="D11" s="260" t="s">
        <v>257</v>
      </c>
      <c r="E11" s="268" t="s">
        <v>15</v>
      </c>
      <c r="F11" s="269"/>
      <c r="G11" s="269"/>
      <c r="H11" s="266"/>
      <c r="I11" s="266" t="s">
        <v>16</v>
      </c>
    </row>
    <row r="12" spans="1:10" s="6" customFormat="1" ht="75" customHeight="1" x14ac:dyDescent="0.2">
      <c r="A12" s="271"/>
      <c r="B12" s="265"/>
      <c r="C12" s="273"/>
      <c r="D12" s="261"/>
      <c r="E12" s="191" t="s">
        <v>141</v>
      </c>
      <c r="F12" s="191" t="s">
        <v>5</v>
      </c>
      <c r="G12" s="191" t="s">
        <v>17</v>
      </c>
      <c r="H12" s="191" t="s">
        <v>54</v>
      </c>
      <c r="I12" s="267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13277000</v>
      </c>
      <c r="E14" s="49">
        <f>SUM(E15+E64)</f>
        <v>9625688.8200000003</v>
      </c>
      <c r="F14" s="49">
        <f>SUM(F15+F64)</f>
        <v>0</v>
      </c>
      <c r="G14" s="49">
        <f>SUM(G15+G64)</f>
        <v>0</v>
      </c>
      <c r="H14" s="228">
        <f>SUM(E14:G14)</f>
        <v>9625688.8200000003</v>
      </c>
      <c r="I14" s="49">
        <f>SUM(D14-H14)</f>
        <v>3651311.1799999997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4924600</v>
      </c>
      <c r="E15" s="47">
        <f>SUM(E16+E28+E30+E40+E42+E51+E49+E55+E58+E38+E60+E23)</f>
        <v>3168963.8200000003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3168963.8200000003</v>
      </c>
      <c r="I15" s="49">
        <f>SUM(D15-H15)</f>
        <v>1755636.1799999997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513890.26999999996</v>
      </c>
      <c r="F16" s="49">
        <f>SUM(F17)</f>
        <v>0</v>
      </c>
      <c r="G16" s="49">
        <f>SUM(G17)</f>
        <v>0</v>
      </c>
      <c r="H16" s="228">
        <f>SUM(E16:G16)</f>
        <v>513890.26999999996</v>
      </c>
      <c r="I16" s="49">
        <f>SUM(D16-H16)</f>
        <v>186109.73000000004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SUM(E18+E19+E22)</f>
        <v>513890.26999999996</v>
      </c>
      <c r="F17" s="44">
        <f>SUM(F18+F19+F27)</f>
        <v>0</v>
      </c>
      <c r="G17" s="44">
        <f>SUM(G18+G19+G27)</f>
        <v>0</v>
      </c>
      <c r="H17" s="53">
        <f>SUM(E17:G17)</f>
        <v>513890.26999999996</v>
      </c>
      <c r="I17" s="229">
        <f>SUM(D17-H17)</f>
        <v>186109.73000000004</v>
      </c>
    </row>
    <row r="18" spans="1:9" s="51" customFormat="1" ht="24" x14ac:dyDescent="0.2">
      <c r="A18" s="42" t="s">
        <v>235</v>
      </c>
      <c r="B18" s="50"/>
      <c r="C18" s="14" t="s">
        <v>234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234</v>
      </c>
      <c r="D19" s="53">
        <f>SUM(D20:D21)</f>
        <v>700000</v>
      </c>
      <c r="E19" s="53">
        <f>SUM(E20:E21)</f>
        <v>512538.27999999997</v>
      </c>
      <c r="F19" s="53">
        <f>SUM(F20:F21)</f>
        <v>0</v>
      </c>
      <c r="G19" s="53">
        <f>SUM(G20:G21)</f>
        <v>0</v>
      </c>
      <c r="H19" s="54">
        <f t="shared" ref="H19:H37" si="1">SUM(E19:G19)</f>
        <v>512538.27999999997</v>
      </c>
      <c r="I19" s="229">
        <f t="shared" si="0"/>
        <v>187461.72000000003</v>
      </c>
    </row>
    <row r="20" spans="1:9" s="55" customFormat="1" ht="60" x14ac:dyDescent="0.2">
      <c r="A20" s="42" t="s">
        <v>113</v>
      </c>
      <c r="B20" s="56"/>
      <c r="C20" s="57" t="s">
        <v>234</v>
      </c>
      <c r="D20" s="53">
        <v>700000</v>
      </c>
      <c r="E20" s="53">
        <f>512499.01+38.22+1.05</f>
        <v>512538.27999999997</v>
      </c>
      <c r="F20" s="53"/>
      <c r="G20" s="53"/>
      <c r="H20" s="53">
        <f t="shared" si="1"/>
        <v>512538.27999999997</v>
      </c>
      <c r="I20" s="229">
        <f t="shared" si="0"/>
        <v>187461.72000000003</v>
      </c>
    </row>
    <row r="21" spans="1:9" s="55" customFormat="1" ht="60" x14ac:dyDescent="0.2">
      <c r="A21" s="42" t="s">
        <v>114</v>
      </c>
      <c r="B21" s="52"/>
      <c r="C21" s="57" t="s">
        <v>312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318</v>
      </c>
      <c r="D22" s="59"/>
      <c r="E22" s="60">
        <f>812.08+4.41+535.5</f>
        <v>1351.99</v>
      </c>
      <c r="F22" s="59"/>
      <c r="G22" s="59"/>
      <c r="H22" s="53">
        <f t="shared" ref="H22:H24" si="2">SUM(E22:G22)</f>
        <v>1351.99</v>
      </c>
      <c r="I22" s="229">
        <f t="shared" ref="I22:I24" si="3">SUM(D22-H22)</f>
        <v>-1351.99</v>
      </c>
    </row>
    <row r="23" spans="1:9" s="51" customFormat="1" ht="31.5" x14ac:dyDescent="0.2">
      <c r="A23" s="259" t="s">
        <v>334</v>
      </c>
      <c r="B23" s="50"/>
      <c r="C23" s="13" t="s">
        <v>335</v>
      </c>
      <c r="D23" s="44">
        <f>SUM(D24:D27)</f>
        <v>3025700</v>
      </c>
      <c r="E23" s="44">
        <f>SUM(E24:E27)</f>
        <v>1678971.3699999999</v>
      </c>
      <c r="F23" s="44">
        <f>SUM(F24+F25+F33)</f>
        <v>0</v>
      </c>
      <c r="G23" s="44">
        <f>SUM(G24+G25+G33)</f>
        <v>0</v>
      </c>
      <c r="H23" s="53">
        <f>SUM(E23:G23)</f>
        <v>1678971.3699999999</v>
      </c>
      <c r="I23" s="229">
        <f>SUM(D23-H23)</f>
        <v>1346728.6300000001</v>
      </c>
    </row>
    <row r="24" spans="1:9" s="61" customFormat="1" ht="24" x14ac:dyDescent="0.2">
      <c r="A24" s="42" t="s">
        <v>336</v>
      </c>
      <c r="B24" s="58"/>
      <c r="C24" s="57" t="s">
        <v>337</v>
      </c>
      <c r="D24" s="59">
        <v>1107400</v>
      </c>
      <c r="E24" s="60">
        <v>637653.02</v>
      </c>
      <c r="F24" s="59"/>
      <c r="G24" s="59"/>
      <c r="H24" s="53">
        <f t="shared" si="2"/>
        <v>637653.02</v>
      </c>
      <c r="I24" s="229">
        <f t="shared" si="3"/>
        <v>469746.98</v>
      </c>
    </row>
    <row r="25" spans="1:9" s="61" customFormat="1" ht="36" x14ac:dyDescent="0.2">
      <c r="A25" s="42" t="s">
        <v>339</v>
      </c>
      <c r="B25" s="58"/>
      <c r="C25" s="57" t="s">
        <v>341</v>
      </c>
      <c r="D25" s="59">
        <v>23000</v>
      </c>
      <c r="E25" s="60">
        <v>13283.09</v>
      </c>
      <c r="F25" s="59"/>
      <c r="G25" s="59"/>
      <c r="H25" s="53">
        <f t="shared" ref="H25:H26" si="4">SUM(E25:G25)</f>
        <v>13283.09</v>
      </c>
      <c r="I25" s="229">
        <f t="shared" ref="I25:I26" si="5">SUM(D25-H25)</f>
        <v>9716.91</v>
      </c>
    </row>
    <row r="26" spans="1:9" s="61" customFormat="1" ht="24" x14ac:dyDescent="0.2">
      <c r="A26" s="42" t="s">
        <v>338</v>
      </c>
      <c r="B26" s="58"/>
      <c r="C26" s="57" t="s">
        <v>342</v>
      </c>
      <c r="D26" s="59">
        <v>1792900</v>
      </c>
      <c r="E26" s="60">
        <v>1046637.94</v>
      </c>
      <c r="F26" s="59"/>
      <c r="G26" s="59"/>
      <c r="H26" s="53">
        <f t="shared" si="4"/>
        <v>1046637.94</v>
      </c>
      <c r="I26" s="229">
        <f t="shared" si="5"/>
        <v>746262.06</v>
      </c>
    </row>
    <row r="27" spans="1:9" s="61" customFormat="1" ht="24" x14ac:dyDescent="0.2">
      <c r="A27" s="42" t="s">
        <v>340</v>
      </c>
      <c r="B27" s="58"/>
      <c r="C27" s="57" t="s">
        <v>343</v>
      </c>
      <c r="D27" s="59">
        <v>102400</v>
      </c>
      <c r="E27" s="60">
        <v>-18602.68</v>
      </c>
      <c r="F27" s="59"/>
      <c r="G27" s="59"/>
      <c r="H27" s="53">
        <f t="shared" si="1"/>
        <v>-18602.68</v>
      </c>
      <c r="I27" s="229">
        <f t="shared" si="0"/>
        <v>121002.68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240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211825.97000000003</v>
      </c>
      <c r="F30" s="49">
        <f>SUM(F31+F33)</f>
        <v>0</v>
      </c>
      <c r="G30" s="49">
        <f>SUM(G31+G33)</f>
        <v>0</v>
      </c>
      <c r="H30" s="49">
        <f t="shared" si="1"/>
        <v>211825.97000000003</v>
      </c>
      <c r="I30" s="49">
        <f>SUM(D30-H30)</f>
        <v>218174.02999999997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152763.80000000002</v>
      </c>
      <c r="F31" s="44">
        <f>SUM(F32)</f>
        <v>0</v>
      </c>
      <c r="G31" s="44">
        <f>SUM(G32)</f>
        <v>0</v>
      </c>
      <c r="H31" s="44">
        <f t="shared" si="1"/>
        <v>152763.80000000002</v>
      </c>
      <c r="I31" s="229">
        <f t="shared" si="0"/>
        <v>47236.199999999983</v>
      </c>
    </row>
    <row r="32" spans="1:9" s="61" customFormat="1" ht="24" x14ac:dyDescent="0.2">
      <c r="A32" s="43" t="s">
        <v>116</v>
      </c>
      <c r="B32" s="65"/>
      <c r="C32" s="57" t="s">
        <v>313</v>
      </c>
      <c r="D32" s="53">
        <v>200000</v>
      </c>
      <c r="E32" s="53">
        <f>144996.79+7767.01</f>
        <v>152763.80000000002</v>
      </c>
      <c r="F32" s="53"/>
      <c r="G32" s="53"/>
      <c r="H32" s="53">
        <f t="shared" si="1"/>
        <v>152763.80000000002</v>
      </c>
      <c r="I32" s="229">
        <f t="shared" si="0"/>
        <v>47236.199999999983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59062.17</v>
      </c>
      <c r="F33" s="44">
        <f>SUM(F34+F36)</f>
        <v>0</v>
      </c>
      <c r="G33" s="44">
        <f>SUM(G34+G36)</f>
        <v>0</v>
      </c>
      <c r="H33" s="44">
        <f>SUM(H34+H36)</f>
        <v>59062.17</v>
      </c>
      <c r="I33" s="229">
        <f t="shared" si="0"/>
        <v>170937.83000000002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68577.009999999995</v>
      </c>
      <c r="F34" s="44">
        <f>SUM(F35)</f>
        <v>0</v>
      </c>
      <c r="G34" s="44">
        <f>SUM(G35)</f>
        <v>0</v>
      </c>
      <c r="H34" s="44">
        <f t="shared" si="1"/>
        <v>68577.009999999995</v>
      </c>
      <c r="I34" s="229">
        <f t="shared" si="0"/>
        <v>11422.990000000005</v>
      </c>
    </row>
    <row r="35" spans="1:11" s="61" customFormat="1" ht="36" x14ac:dyDescent="0.2">
      <c r="A35" s="43" t="s">
        <v>118</v>
      </c>
      <c r="B35" s="65"/>
      <c r="C35" s="57" t="s">
        <v>239</v>
      </c>
      <c r="D35" s="53">
        <v>80000</v>
      </c>
      <c r="E35" s="53">
        <f>67844.93+732.08</f>
        <v>68577.009999999995</v>
      </c>
      <c r="F35" s="53"/>
      <c r="G35" s="53"/>
      <c r="H35" s="53">
        <f t="shared" si="1"/>
        <v>68577.009999999995</v>
      </c>
      <c r="I35" s="229">
        <f t="shared" si="0"/>
        <v>11422.990000000005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-9514.84</v>
      </c>
      <c r="F36" s="44">
        <f>SUM(F37)</f>
        <v>0</v>
      </c>
      <c r="G36" s="44">
        <f>SUM(G37)</f>
        <v>0</v>
      </c>
      <c r="H36" s="44">
        <f t="shared" si="1"/>
        <v>-9514.84</v>
      </c>
      <c r="I36" s="229">
        <f t="shared" si="0"/>
        <v>159514.84</v>
      </c>
    </row>
    <row r="37" spans="1:11" s="61" customFormat="1" ht="36" x14ac:dyDescent="0.2">
      <c r="A37" s="43" t="s">
        <v>120</v>
      </c>
      <c r="B37" s="76"/>
      <c r="C37" s="57" t="s">
        <v>238</v>
      </c>
      <c r="D37" s="77">
        <v>150000</v>
      </c>
      <c r="E37" s="78">
        <f>-9793.17+178.13+100.2</f>
        <v>-9514.84</v>
      </c>
      <c r="F37" s="78"/>
      <c r="G37" s="78"/>
      <c r="H37" s="78">
        <f t="shared" si="1"/>
        <v>-9514.84</v>
      </c>
      <c r="I37" s="229">
        <f t="shared" si="0"/>
        <v>159514.84</v>
      </c>
      <c r="J37" s="79"/>
      <c r="K37" s="79"/>
    </row>
    <row r="38" spans="1:11" s="177" customFormat="1" ht="15.75" x14ac:dyDescent="0.25">
      <c r="A38" s="216" t="s">
        <v>216</v>
      </c>
      <c r="B38" s="175"/>
      <c r="C38" s="154" t="s">
        <v>136</v>
      </c>
      <c r="D38" s="176">
        <f>SUM(D39)</f>
        <v>26500</v>
      </c>
      <c r="E38" s="176">
        <f>SUM(E39)</f>
        <v>16060</v>
      </c>
      <c r="F38" s="176">
        <f>SUM(F39)</f>
        <v>0</v>
      </c>
      <c r="G38" s="176">
        <f>SUM(G39)</f>
        <v>0</v>
      </c>
      <c r="H38" s="176">
        <f>SUM(H39)</f>
        <v>16060</v>
      </c>
      <c r="I38" s="49">
        <f>SUM(D38-H38)</f>
        <v>10440</v>
      </c>
    </row>
    <row r="39" spans="1:11" s="61" customFormat="1" ht="38.25" customHeight="1" x14ac:dyDescent="0.2">
      <c r="A39" s="215" t="s">
        <v>215</v>
      </c>
      <c r="B39" s="172"/>
      <c r="C39" s="57" t="s">
        <v>237</v>
      </c>
      <c r="D39" s="173">
        <v>26500</v>
      </c>
      <c r="E39" s="173">
        <v>16060</v>
      </c>
      <c r="F39" s="174"/>
      <c r="G39" s="174"/>
      <c r="H39" s="78">
        <f>SUM(E39)</f>
        <v>16060</v>
      </c>
      <c r="I39" s="229">
        <f t="shared" si="0"/>
        <v>10440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470000</v>
      </c>
      <c r="E42" s="35">
        <f>SUM(E43+E46)</f>
        <v>473240.07</v>
      </c>
      <c r="F42" s="35">
        <f>SUM(F43+F46)</f>
        <v>0</v>
      </c>
      <c r="G42" s="35">
        <f>SUM(G43+G46)</f>
        <v>0</v>
      </c>
      <c r="H42" s="156">
        <f>SUM(E42:G42)</f>
        <v>473240.07</v>
      </c>
      <c r="I42" s="49">
        <f>SUM(D42-H42)</f>
        <v>-3240.070000000007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470000</v>
      </c>
      <c r="E43" s="36">
        <f>SUM(E44:E45)</f>
        <v>473240.07</v>
      </c>
      <c r="F43" s="36">
        <f>SUM(F44:F45)</f>
        <v>0</v>
      </c>
      <c r="G43" s="36">
        <f>SUM(G44:G45)</f>
        <v>0</v>
      </c>
      <c r="H43" s="54">
        <f>SUM(E43:G43)</f>
        <v>473240.07</v>
      </c>
      <c r="I43" s="229">
        <f t="shared" si="0"/>
        <v>-3240.070000000007</v>
      </c>
    </row>
    <row r="44" spans="1:11" s="68" customFormat="1" ht="48" x14ac:dyDescent="0.2">
      <c r="A44" s="42" t="s">
        <v>122</v>
      </c>
      <c r="B44" s="82"/>
      <c r="C44" s="83" t="s">
        <v>296</v>
      </c>
      <c r="D44" s="73">
        <f>390000+80000</f>
        <v>470000</v>
      </c>
      <c r="E44" s="84">
        <v>473240.07</v>
      </c>
      <c r="F44" s="85"/>
      <c r="G44" s="85"/>
      <c r="H44" s="73">
        <f t="shared" ref="H44:H62" si="6">SUM(E44:G44)</f>
        <v>473240.07</v>
      </c>
      <c r="I44" s="229">
        <f t="shared" si="0"/>
        <v>-3240.070000000007</v>
      </c>
    </row>
    <row r="45" spans="1:11" s="68" customFormat="1" ht="36" x14ac:dyDescent="0.2">
      <c r="A45" s="42" t="s">
        <v>123</v>
      </c>
      <c r="B45" s="4"/>
      <c r="C45" s="86" t="s">
        <v>236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288</v>
      </c>
      <c r="B49" s="92"/>
      <c r="C49" s="93" t="s">
        <v>285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287</v>
      </c>
      <c r="B50" s="4"/>
      <c r="C50" s="71" t="s">
        <v>286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245</v>
      </c>
      <c r="B51" s="92"/>
      <c r="C51" s="93" t="s">
        <v>246</v>
      </c>
      <c r="D51" s="94">
        <f>SUM(D52)</f>
        <v>272400</v>
      </c>
      <c r="E51" s="44">
        <f>SUM(E53:E54)</f>
        <v>274903.14</v>
      </c>
      <c r="F51" s="94">
        <f t="shared" si="9"/>
        <v>0</v>
      </c>
      <c r="G51" s="94">
        <f t="shared" si="9"/>
        <v>0</v>
      </c>
      <c r="H51" s="95">
        <f t="shared" si="8"/>
        <v>274903.14</v>
      </c>
      <c r="I51" s="49">
        <f>SUM(D51-H51)</f>
        <v>-2503.140000000014</v>
      </c>
    </row>
    <row r="52" spans="1:9" s="68" customFormat="1" ht="48" x14ac:dyDescent="0.2">
      <c r="A52" s="42" t="s">
        <v>249</v>
      </c>
      <c r="B52" s="4"/>
      <c r="C52" s="71" t="s">
        <v>247</v>
      </c>
      <c r="D52" s="44">
        <f>SUM(D53+D54)</f>
        <v>272400</v>
      </c>
      <c r="E52" s="44">
        <v>274903.14</v>
      </c>
      <c r="F52" s="44">
        <f t="shared" si="9"/>
        <v>0</v>
      </c>
      <c r="G52" s="44">
        <f t="shared" si="9"/>
        <v>0</v>
      </c>
      <c r="H52" s="84">
        <f t="shared" si="8"/>
        <v>274903.14</v>
      </c>
      <c r="I52" s="229">
        <f t="shared" si="0"/>
        <v>-2503.140000000014</v>
      </c>
    </row>
    <row r="53" spans="1:9" s="68" customFormat="1" ht="48" x14ac:dyDescent="0.2">
      <c r="A53" s="42" t="s">
        <v>248</v>
      </c>
      <c r="B53" s="96"/>
      <c r="C53" s="57" t="s">
        <v>327</v>
      </c>
      <c r="D53" s="73">
        <v>50000</v>
      </c>
      <c r="E53" s="73">
        <v>52500</v>
      </c>
      <c r="F53" s="85"/>
      <c r="G53" s="85"/>
      <c r="H53" s="73">
        <f t="shared" si="8"/>
        <v>52500</v>
      </c>
      <c r="I53" s="229">
        <f>SUM(D53-H53)</f>
        <v>-2500</v>
      </c>
    </row>
    <row r="54" spans="1:9" s="68" customFormat="1" ht="29.25" customHeight="1" x14ac:dyDescent="0.2">
      <c r="A54" s="258" t="s">
        <v>331</v>
      </c>
      <c r="B54" s="96"/>
      <c r="C54" s="57" t="s">
        <v>332</v>
      </c>
      <c r="D54" s="73">
        <v>222400</v>
      </c>
      <c r="E54" s="73">
        <v>222403.14</v>
      </c>
      <c r="F54" s="85"/>
      <c r="G54" s="85"/>
      <c r="H54" s="73">
        <f t="shared" si="8"/>
        <v>222403.14</v>
      </c>
      <c r="I54" s="229">
        <f>SUM(D54-H54)</f>
        <v>-3.1400000000139698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326</v>
      </c>
      <c r="B58" s="98"/>
      <c r="C58" s="12" t="s">
        <v>325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323</v>
      </c>
      <c r="B59" s="4"/>
      <c r="C59" s="83" t="s">
        <v>324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73</v>
      </c>
      <c r="F60" s="95">
        <f>SUM(F61:F62)</f>
        <v>0</v>
      </c>
      <c r="G60" s="95">
        <f>SUM(G61:G62)</f>
        <v>0</v>
      </c>
      <c r="H60" s="95">
        <f t="shared" si="6"/>
        <v>73</v>
      </c>
      <c r="I60" s="49">
        <f>SUM(D60-H60)</f>
        <v>-73</v>
      </c>
    </row>
    <row r="61" spans="1:9" s="68" customFormat="1" ht="15" x14ac:dyDescent="0.2">
      <c r="A61" s="221" t="s">
        <v>217</v>
      </c>
      <c r="B61" s="4"/>
      <c r="C61" s="83" t="s">
        <v>135</v>
      </c>
      <c r="D61" s="85"/>
      <c r="E61" s="85">
        <v>73</v>
      </c>
      <c r="F61" s="85"/>
      <c r="G61" s="73"/>
      <c r="H61" s="73">
        <f t="shared" si="6"/>
        <v>73</v>
      </c>
      <c r="I61" s="229">
        <f>SUM(D61-H61)</f>
        <v>-73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2" t="s">
        <v>78</v>
      </c>
      <c r="B63" s="263"/>
      <c r="C63" s="101"/>
      <c r="D63" s="95">
        <f>SUM(D15)</f>
        <v>4924600</v>
      </c>
      <c r="E63" s="95">
        <f>SUM(E15)</f>
        <v>3168963.8200000003</v>
      </c>
      <c r="F63" s="95">
        <f>SUM(F15)</f>
        <v>0</v>
      </c>
      <c r="G63" s="95">
        <f>SUM(G15)</f>
        <v>0</v>
      </c>
      <c r="H63" s="95">
        <f>SUM(E63:G63)</f>
        <v>3168963.8200000003</v>
      </c>
      <c r="I63" s="49">
        <f t="shared" ref="I63:I66" si="11">SUM(D63-H63)</f>
        <v>1755636.1799999997</v>
      </c>
    </row>
    <row r="64" spans="1:9" s="68" customFormat="1" ht="18" x14ac:dyDescent="0.2">
      <c r="A64" s="160" t="s">
        <v>12</v>
      </c>
      <c r="B64" s="100"/>
      <c r="C64" s="93" t="s">
        <v>291</v>
      </c>
      <c r="D64" s="95">
        <f>SUM(D65:D72)</f>
        <v>8352400</v>
      </c>
      <c r="E64" s="95">
        <f>SUM(E65:E74)</f>
        <v>6456725</v>
      </c>
      <c r="F64" s="95">
        <f>SUM(F65:F72)</f>
        <v>0</v>
      </c>
      <c r="G64" s="95">
        <f>SUM(G65:G72)</f>
        <v>0</v>
      </c>
      <c r="H64" s="95">
        <f>SUM(H65:H72)</f>
        <v>6456725</v>
      </c>
      <c r="I64" s="49">
        <f t="shared" si="11"/>
        <v>1895675</v>
      </c>
    </row>
    <row r="65" spans="1:9" s="68" customFormat="1" ht="21.75" customHeight="1" x14ac:dyDescent="0.2">
      <c r="A65" s="225" t="s">
        <v>256</v>
      </c>
      <c r="B65" s="70"/>
      <c r="C65" s="102" t="s">
        <v>140</v>
      </c>
      <c r="D65" s="73">
        <v>7354200</v>
      </c>
      <c r="E65" s="73">
        <v>5515425</v>
      </c>
      <c r="F65" s="73"/>
      <c r="G65" s="73"/>
      <c r="H65" s="73">
        <f>SUM(E65:G65)</f>
        <v>5515425</v>
      </c>
      <c r="I65" s="229">
        <f t="shared" si="11"/>
        <v>1838775</v>
      </c>
    </row>
    <row r="66" spans="1:9" s="68" customFormat="1" ht="21.75" customHeight="1" x14ac:dyDescent="0.2">
      <c r="A66" s="225" t="s">
        <v>292</v>
      </c>
      <c r="B66" s="70"/>
      <c r="C66" s="102" t="s">
        <v>290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319</v>
      </c>
      <c r="B67" s="70"/>
      <c r="C67" s="102" t="s">
        <v>320</v>
      </c>
      <c r="D67" s="73"/>
      <c r="F67" s="73"/>
      <c r="G67" s="73"/>
      <c r="H67" s="73"/>
      <c r="I67" s="229"/>
    </row>
    <row r="68" spans="1:9" s="68" customFormat="1" ht="19.5" customHeight="1" x14ac:dyDescent="0.2">
      <c r="A68" s="226" t="s">
        <v>241</v>
      </c>
      <c r="B68" s="70"/>
      <c r="C68" s="103" t="s">
        <v>348</v>
      </c>
      <c r="D68" s="73">
        <v>707000</v>
      </c>
      <c r="E68" s="73">
        <v>707000</v>
      </c>
      <c r="F68" s="73"/>
      <c r="G68" s="73"/>
      <c r="H68" s="73">
        <f>SUM(E68:G68)</f>
        <v>707000</v>
      </c>
      <c r="I68" s="229">
        <f t="shared" ref="I68:I74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218</v>
      </c>
      <c r="D69" s="73">
        <v>6800</v>
      </c>
      <c r="E69" s="73">
        <v>6800</v>
      </c>
      <c r="F69" s="73"/>
      <c r="G69" s="73"/>
      <c r="H69" s="73">
        <f t="shared" si="12"/>
        <v>6800</v>
      </c>
      <c r="I69" s="229">
        <f t="shared" si="13"/>
        <v>0</v>
      </c>
    </row>
    <row r="70" spans="1:9" s="68" customFormat="1" ht="24" x14ac:dyDescent="0.2">
      <c r="A70" s="42" t="s">
        <v>13</v>
      </c>
      <c r="B70" s="4"/>
      <c r="C70" s="104" t="s">
        <v>219</v>
      </c>
      <c r="D70" s="73">
        <v>227800</v>
      </c>
      <c r="E70" s="73">
        <v>170900</v>
      </c>
      <c r="F70" s="73"/>
      <c r="G70" s="73"/>
      <c r="H70" s="73">
        <f t="shared" si="12"/>
        <v>170900</v>
      </c>
      <c r="I70" s="229">
        <f t="shared" si="13"/>
        <v>56900</v>
      </c>
    </row>
    <row r="71" spans="1:9" s="68" customFormat="1" ht="15" x14ac:dyDescent="0.2">
      <c r="A71" s="42" t="s">
        <v>270</v>
      </c>
      <c r="B71" s="4"/>
      <c r="C71" s="104" t="s">
        <v>271</v>
      </c>
      <c r="D71" s="73">
        <v>56600</v>
      </c>
      <c r="E71" s="73">
        <v>56600</v>
      </c>
      <c r="F71" s="73"/>
      <c r="G71" s="73"/>
      <c r="H71" s="73">
        <f t="shared" si="12"/>
        <v>56600</v>
      </c>
      <c r="I71" s="229">
        <f t="shared" si="13"/>
        <v>0</v>
      </c>
    </row>
    <row r="72" spans="1:9" s="68" customFormat="1" ht="24" x14ac:dyDescent="0.2">
      <c r="A72" s="42" t="s">
        <v>275</v>
      </c>
      <c r="B72" s="4"/>
      <c r="C72" s="104" t="s">
        <v>276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346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283</v>
      </c>
      <c r="B74" s="4"/>
      <c r="C74" s="104" t="s">
        <v>284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A10:C10"/>
    <mergeCell ref="B6:H6"/>
    <mergeCell ref="A1:H1"/>
    <mergeCell ref="A2:I2"/>
    <mergeCell ref="A3:I3"/>
    <mergeCell ref="C4:D4"/>
    <mergeCell ref="D11:D12"/>
    <mergeCell ref="A63:B63"/>
    <mergeCell ref="B11:B12"/>
    <mergeCell ref="I11:I12"/>
    <mergeCell ref="E11:H11"/>
    <mergeCell ref="A11:A12"/>
    <mergeCell ref="C11:C12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abSelected="1" view="pageBreakPreview" zoomScale="80" zoomScaleNormal="80" zoomScaleSheetLayoutView="80" workbookViewId="0">
      <pane xSplit="7" ySplit="5" topLeftCell="H96" activePane="bottomRight" state="frozen"/>
      <selection pane="topRight" activeCell="D1" sqref="D1"/>
      <selection pane="bottomLeft" activeCell="A7" sqref="A7"/>
      <selection pane="bottomRight" activeCell="J121" sqref="J121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257</v>
      </c>
      <c r="I3" s="281" t="s">
        <v>258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259</v>
      </c>
      <c r="O4" s="219" t="s">
        <v>260</v>
      </c>
    </row>
    <row r="5" spans="1:15" s="109" customFormat="1" ht="18" customHeight="1" x14ac:dyDescent="0.2">
      <c r="A5" s="107">
        <v>1</v>
      </c>
      <c r="B5" s="128">
        <v>2</v>
      </c>
      <c r="C5" s="128" t="s">
        <v>209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SUM(H7+H38+H47+H66+H79+H120+H124+H153+H148+H157)</f>
        <v>14560000</v>
      </c>
      <c r="I6" s="231" t="s">
        <v>261</v>
      </c>
      <c r="J6" s="49">
        <f>SUM(J7+J38+J47+J66+J79+J120+J124+J153+J148+J157)</f>
        <v>8449020.4199999999</v>
      </c>
      <c r="K6" s="49">
        <f>SUM(K7+K38+K47+K66+K79+K120+K124+K153+K148)</f>
        <v>0</v>
      </c>
      <c r="L6" s="49">
        <f>SUM(L7+L38+L47+L66+L79+L120+L124+L153+L148)</f>
        <v>0</v>
      </c>
      <c r="M6" s="49">
        <f>SUM(M7+M38+M47+M66+M79+M120+M124+M153+M148)</f>
        <v>8422810.4199999999</v>
      </c>
      <c r="N6" s="49">
        <f>SUM(N7+N38+N47+N66+N79+N120+N124+N153+N148)</f>
        <v>3111589.58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SUM(H8+H11+H14+H32+H34+H52+H36)</f>
        <v>5284400</v>
      </c>
      <c r="I7" s="231" t="s">
        <v>261</v>
      </c>
      <c r="J7" s="49">
        <f>SUM(J8+J11+J14+J32+J34+J52+J36)</f>
        <v>4224627.88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4224627.88</v>
      </c>
      <c r="N7" s="95">
        <f t="shared" ref="N7:N42" si="1">SUM(H7-M7)</f>
        <v>1059772.1200000001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261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250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261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250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261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261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250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261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250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261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5184600</v>
      </c>
      <c r="I14" s="232" t="s">
        <v>261</v>
      </c>
      <c r="J14" s="44">
        <f>SUM(J15:J31)</f>
        <v>4177627.88</v>
      </c>
      <c r="K14" s="44">
        <f>SUM(K15:K31)</f>
        <v>0</v>
      </c>
      <c r="L14" s="44">
        <f>SUM(L15:L31)</f>
        <v>0</v>
      </c>
      <c r="M14" s="84">
        <f t="shared" si="0"/>
        <v>4177627.88</v>
      </c>
      <c r="N14" s="84">
        <f t="shared" si="1"/>
        <v>1006972.1200000001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250</v>
      </c>
      <c r="D15" s="128" t="s">
        <v>160</v>
      </c>
      <c r="E15" s="128" t="s">
        <v>162</v>
      </c>
      <c r="F15" s="128" t="s">
        <v>297</v>
      </c>
      <c r="G15" s="128" t="s">
        <v>152</v>
      </c>
      <c r="H15" s="158">
        <f>1877400+75000+70800</f>
        <v>2023200</v>
      </c>
      <c r="I15" s="233" t="s">
        <v>261</v>
      </c>
      <c r="J15" s="246">
        <f>379090.7+4824.7+49683.76+37100+2600+33800+103076.79+37100+58200+2600+20739+9594.7+37100+24600+34039.7+45332.55+37100+25500+139565.98+202448.49+16600+17100+150185.53+25200+18998.62</f>
        <v>1512180.5200000003</v>
      </c>
      <c r="K15" s="73"/>
      <c r="L15" s="73"/>
      <c r="M15" s="73">
        <f t="shared" si="0"/>
        <v>1512180.5200000003</v>
      </c>
      <c r="N15" s="73">
        <f t="shared" si="1"/>
        <v>511019.47999999975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250</v>
      </c>
      <c r="D16" s="128" t="s">
        <v>160</v>
      </c>
      <c r="E16" s="128" t="s">
        <v>162</v>
      </c>
      <c r="F16" s="128" t="s">
        <v>328</v>
      </c>
      <c r="G16" s="128" t="s">
        <v>163</v>
      </c>
      <c r="H16" s="158">
        <v>600</v>
      </c>
      <c r="I16" s="233" t="s">
        <v>261</v>
      </c>
      <c r="J16" s="246">
        <f>100+50+50+50+50+50+50</f>
        <v>400</v>
      </c>
      <c r="K16" s="73"/>
      <c r="L16" s="73"/>
      <c r="M16" s="73">
        <f t="shared" si="0"/>
        <v>400</v>
      </c>
      <c r="N16" s="73">
        <f t="shared" si="1"/>
        <v>200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250</v>
      </c>
      <c r="D17" s="128" t="s">
        <v>160</v>
      </c>
      <c r="E17" s="128" t="s">
        <v>162</v>
      </c>
      <c r="F17" s="128" t="s">
        <v>297</v>
      </c>
      <c r="G17" s="128" t="s">
        <v>153</v>
      </c>
      <c r="H17" s="158">
        <f>567000+25000+21400</f>
        <v>613400</v>
      </c>
      <c r="I17" s="233" t="s">
        <v>261</v>
      </c>
      <c r="J17" s="246">
        <f>136813.51+41866.01+49871.61+68530.37+76420.67+47880.85+33086.28</f>
        <v>454469.29999999993</v>
      </c>
      <c r="K17" s="73"/>
      <c r="L17" s="73"/>
      <c r="M17" s="73">
        <f t="shared" si="0"/>
        <v>454469.29999999993</v>
      </c>
      <c r="N17" s="73">
        <f t="shared" si="1"/>
        <v>158930.70000000007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250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261</v>
      </c>
      <c r="J18" s="246">
        <f>37618.14+9633.52+1500+1400+500+12792.39+1400+10142.9+1400+9985.63+1500+1000+1000+10275+1500+10002.38+1500</f>
        <v>113149.96</v>
      </c>
      <c r="K18" s="73"/>
      <c r="L18" s="73"/>
      <c r="M18" s="73">
        <f t="shared" si="0"/>
        <v>113149.96</v>
      </c>
      <c r="N18" s="73">
        <f t="shared" si="1"/>
        <v>23850.039999999994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250</v>
      </c>
      <c r="D19" s="128" t="s">
        <v>160</v>
      </c>
      <c r="E19" s="128" t="s">
        <v>162</v>
      </c>
      <c r="F19" s="128" t="s">
        <v>299</v>
      </c>
      <c r="G19" s="128" t="s">
        <v>165</v>
      </c>
      <c r="H19" s="158">
        <v>5000</v>
      </c>
      <c r="I19" s="233" t="s">
        <v>261</v>
      </c>
      <c r="J19" s="246">
        <f>1440+960+720</f>
        <v>3120</v>
      </c>
      <c r="K19" s="73"/>
      <c r="L19" s="73"/>
      <c r="M19" s="73">
        <f t="shared" si="0"/>
        <v>3120</v>
      </c>
      <c r="N19" s="73">
        <f t="shared" si="1"/>
        <v>1880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250</v>
      </c>
      <c r="D20" s="128" t="s">
        <v>160</v>
      </c>
      <c r="E20" s="128" t="s">
        <v>162</v>
      </c>
      <c r="F20" s="128" t="s">
        <v>299</v>
      </c>
      <c r="G20" s="128" t="s">
        <v>166</v>
      </c>
      <c r="H20" s="158">
        <v>48000</v>
      </c>
      <c r="I20" s="233" t="s">
        <v>261</v>
      </c>
      <c r="J20" s="246">
        <f>22815.88+5904.17+6803.14+3973+2888.41+2780.8+2534.63</f>
        <v>47700.030000000006</v>
      </c>
      <c r="K20" s="73"/>
      <c r="L20" s="73"/>
      <c r="M20" s="73">
        <f t="shared" si="0"/>
        <v>47700.030000000006</v>
      </c>
      <c r="N20" s="73">
        <f t="shared" si="1"/>
        <v>299.96999999999389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250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f>130000+90000</f>
        <v>220000</v>
      </c>
      <c r="I21" s="233" t="s">
        <v>261</v>
      </c>
      <c r="J21" s="246">
        <f>54513.6+17530+1000+14973+2650+4968+10005+4968+1850+10005+14973+1350+14973+4968</f>
        <v>158726.6</v>
      </c>
      <c r="K21" s="73"/>
      <c r="L21" s="73"/>
      <c r="M21" s="73">
        <f t="shared" si="0"/>
        <v>158726.6</v>
      </c>
      <c r="N21" s="73">
        <f t="shared" si="1"/>
        <v>61273.399999999994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250</v>
      </c>
      <c r="D22" s="128" t="s">
        <v>160</v>
      </c>
      <c r="E22" s="128" t="s">
        <v>162</v>
      </c>
      <c r="F22" s="128" t="s">
        <v>299</v>
      </c>
      <c r="G22" s="128" t="s">
        <v>167</v>
      </c>
      <c r="H22" s="73">
        <f>62400+14000</f>
        <v>76400</v>
      </c>
      <c r="I22" s="233" t="s">
        <v>261</v>
      </c>
      <c r="J22" s="246">
        <f>11305.1+1000+1497.3+2523+7705.15+7090+2610+1608.85+12812.17+3473.11+5282.95+1000+8727.95+1230.15</f>
        <v>67865.73</v>
      </c>
      <c r="K22" s="73"/>
      <c r="L22" s="73"/>
      <c r="M22" s="73">
        <f>SUM(J22:L22)</f>
        <v>67865.73</v>
      </c>
      <c r="N22" s="73">
        <f>SUM(H22-M22)</f>
        <v>8534.2700000000041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250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v>50000</v>
      </c>
      <c r="I23" s="233" t="s">
        <v>261</v>
      </c>
      <c r="J23" s="246">
        <f>11980+18525+400+600+1200+1950+1000+2850</f>
        <v>38505</v>
      </c>
      <c r="K23" s="73"/>
      <c r="L23" s="73"/>
      <c r="M23" s="73">
        <f t="shared" si="0"/>
        <v>38505</v>
      </c>
      <c r="N23" s="73">
        <f t="shared" si="1"/>
        <v>11495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250</v>
      </c>
      <c r="D24" s="128" t="s">
        <v>160</v>
      </c>
      <c r="E24" s="128" t="s">
        <v>162</v>
      </c>
      <c r="F24" s="128" t="s">
        <v>299</v>
      </c>
      <c r="G24" s="128" t="s">
        <v>168</v>
      </c>
      <c r="H24" s="73">
        <f>217000+200000+50000+30000</f>
        <v>497000</v>
      </c>
      <c r="I24" s="233" t="s">
        <v>261</v>
      </c>
      <c r="J24" s="246">
        <f>112935.64+4832+17812.46+110238.6+60000+20780+35739.81+5985+3705.44+15797.43+2610+26680.65+4500+2546+5300+6671.8+2888+6000+14355+13274.69+3040+9766.74+6607.83</f>
        <v>492067.09</v>
      </c>
      <c r="K24" s="73"/>
      <c r="L24" s="73"/>
      <c r="M24" s="73">
        <f>SUM(J24:L24)</f>
        <v>492067.09</v>
      </c>
      <c r="N24" s="73">
        <f>SUM(H24-M24)</f>
        <v>4932.9099999999744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250</v>
      </c>
      <c r="D25" s="128" t="s">
        <v>160</v>
      </c>
      <c r="E25" s="128" t="s">
        <v>162</v>
      </c>
      <c r="F25" s="128" t="s">
        <v>299</v>
      </c>
      <c r="G25" s="128" t="s">
        <v>169</v>
      </c>
      <c r="H25" s="73">
        <f>100000-90000+15000</f>
        <v>25000</v>
      </c>
      <c r="I25" s="233" t="s">
        <v>261</v>
      </c>
      <c r="J25" s="246">
        <f>7300+1400</f>
        <v>8700</v>
      </c>
      <c r="K25" s="73"/>
      <c r="L25" s="73"/>
      <c r="M25" s="73">
        <f t="shared" si="0"/>
        <v>8700</v>
      </c>
      <c r="N25" s="73">
        <f t="shared" si="1"/>
        <v>16300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250</v>
      </c>
      <c r="D26" s="128" t="s">
        <v>160</v>
      </c>
      <c r="E26" s="128" t="s">
        <v>162</v>
      </c>
      <c r="F26" s="128" t="s">
        <v>300</v>
      </c>
      <c r="G26" s="128" t="s">
        <v>169</v>
      </c>
      <c r="H26" s="73">
        <f>10000+390000</f>
        <v>400000</v>
      </c>
      <c r="I26" s="233" t="s">
        <v>261</v>
      </c>
      <c r="J26" s="246">
        <f>11061+119268+119248+210</f>
        <v>249787</v>
      </c>
      <c r="K26" s="73"/>
      <c r="L26" s="73"/>
      <c r="M26" s="73">
        <f>SUM(J26:L26)</f>
        <v>249787</v>
      </c>
      <c r="N26" s="73">
        <f>SUM(H26-M26)</f>
        <v>150213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250</v>
      </c>
      <c r="D27" s="128" t="s">
        <v>160</v>
      </c>
      <c r="E27" s="128" t="s">
        <v>162</v>
      </c>
      <c r="F27" s="128" t="s">
        <v>301</v>
      </c>
      <c r="G27" s="128" t="s">
        <v>169</v>
      </c>
      <c r="H27" s="73">
        <f>400000-390000+20000</f>
        <v>30000</v>
      </c>
      <c r="I27" s="233" t="s">
        <v>261</v>
      </c>
      <c r="J27" s="246">
        <f>1260.35+0.93+17552+574.35+1.02+12.42+1533.44+56.04+4.55</f>
        <v>20995.099999999995</v>
      </c>
      <c r="K27" s="73"/>
      <c r="L27" s="73"/>
      <c r="M27" s="73">
        <f>SUM(J27:L27)</f>
        <v>20995.099999999995</v>
      </c>
      <c r="N27" s="73">
        <f>SUM(H27-M27)</f>
        <v>9004.9000000000051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250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30000+20000-30000</f>
        <v>20000</v>
      </c>
      <c r="I28" s="233" t="s">
        <v>261</v>
      </c>
      <c r="J28" s="246">
        <f>13590</f>
        <v>13590</v>
      </c>
      <c r="K28" s="73"/>
      <c r="L28" s="73"/>
      <c r="M28" s="73">
        <f>SUM(J28:L28)</f>
        <v>13590</v>
      </c>
      <c r="N28" s="73">
        <f>SUM(H28-M28)</f>
        <v>6410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250</v>
      </c>
      <c r="D29" s="128" t="s">
        <v>160</v>
      </c>
      <c r="E29" s="128" t="s">
        <v>162</v>
      </c>
      <c r="F29" s="128" t="s">
        <v>299</v>
      </c>
      <c r="G29" s="128" t="s">
        <v>170</v>
      </c>
      <c r="H29" s="73">
        <f>500000+14000</f>
        <v>514000</v>
      </c>
      <c r="I29" s="233" t="s">
        <v>261</v>
      </c>
      <c r="J29" s="246">
        <f>7449+505900</f>
        <v>513349</v>
      </c>
      <c r="K29" s="73"/>
      <c r="L29" s="73"/>
      <c r="M29" s="73">
        <f t="shared" si="0"/>
        <v>513349</v>
      </c>
      <c r="N29" s="73">
        <f t="shared" si="1"/>
        <v>651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250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>
        <v>3000</v>
      </c>
      <c r="I30" s="233" t="s">
        <v>261</v>
      </c>
      <c r="J30" s="246">
        <f>2380</f>
        <v>2380</v>
      </c>
      <c r="K30" s="73"/>
      <c r="L30" s="73"/>
      <c r="M30" s="73">
        <f>SUM(J30:L30)</f>
        <v>2380</v>
      </c>
      <c r="N30" s="73">
        <f>SUM(H30-M30)</f>
        <v>620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250</v>
      </c>
      <c r="D31" s="128" t="s">
        <v>160</v>
      </c>
      <c r="E31" s="128" t="s">
        <v>162</v>
      </c>
      <c r="F31" s="128" t="s">
        <v>299</v>
      </c>
      <c r="G31" s="128" t="s">
        <v>171</v>
      </c>
      <c r="H31" s="73">
        <f>382000+186000-46000</f>
        <v>522000</v>
      </c>
      <c r="I31" s="233" t="s">
        <v>261</v>
      </c>
      <c r="J31" s="246">
        <f>221208.55+2409+2000+500+29664+5190+3161+99800+99810+16900</f>
        <v>480642.55</v>
      </c>
      <c r="K31" s="73"/>
      <c r="L31" s="73"/>
      <c r="M31" s="73">
        <f t="shared" si="0"/>
        <v>480642.55</v>
      </c>
      <c r="N31" s="73">
        <f t="shared" si="1"/>
        <v>41357.450000000012</v>
      </c>
      <c r="O31" s="73" t="s">
        <v>315</v>
      </c>
    </row>
    <row r="32" spans="1:15" s="68" customFormat="1" ht="19.5" customHeight="1" x14ac:dyDescent="0.2">
      <c r="A32" s="118" t="s">
        <v>210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30000</v>
      </c>
      <c r="I32" s="234" t="s">
        <v>261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250</v>
      </c>
      <c r="D33" s="128" t="s">
        <v>172</v>
      </c>
      <c r="E33" s="128" t="s">
        <v>302</v>
      </c>
      <c r="F33" s="128" t="s">
        <v>299</v>
      </c>
      <c r="G33" s="196" t="s">
        <v>169</v>
      </c>
      <c r="H33" s="117">
        <v>30000</v>
      </c>
      <c r="I33" s="237" t="s">
        <v>261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266</v>
      </c>
      <c r="B34" s="114"/>
      <c r="C34" s="195" t="s">
        <v>147</v>
      </c>
      <c r="D34" s="195" t="s">
        <v>279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261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250</v>
      </c>
      <c r="D35" s="128" t="s">
        <v>279</v>
      </c>
      <c r="E35" s="128" t="s">
        <v>267</v>
      </c>
      <c r="F35" s="128" t="s">
        <v>303</v>
      </c>
      <c r="G35" s="196" t="s">
        <v>169</v>
      </c>
      <c r="H35" s="117">
        <v>20000</v>
      </c>
      <c r="I35" s="237" t="s">
        <v>261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18" t="s">
        <v>83</v>
      </c>
      <c r="B36" s="114"/>
      <c r="C36" s="195" t="s">
        <v>147</v>
      </c>
      <c r="D36" s="195" t="s">
        <v>344</v>
      </c>
      <c r="E36" s="195" t="s">
        <v>149</v>
      </c>
      <c r="F36" s="195" t="s">
        <v>147</v>
      </c>
      <c r="G36" s="195" t="s">
        <v>147</v>
      </c>
      <c r="H36" s="115">
        <f>SUM(H37)</f>
        <v>43000</v>
      </c>
      <c r="I36" s="234" t="s">
        <v>261</v>
      </c>
      <c r="J36" s="115">
        <f>SUM(J37)</f>
        <v>43000</v>
      </c>
      <c r="K36" s="115">
        <f>SUM(K37)</f>
        <v>0</v>
      </c>
      <c r="L36" s="115">
        <f>SUM(L37)</f>
        <v>0</v>
      </c>
      <c r="M36" s="84">
        <f>SUM(J36:L36)</f>
        <v>43000</v>
      </c>
      <c r="N36" s="84">
        <f>SUM(H36-M36)</f>
        <v>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250</v>
      </c>
      <c r="D37" s="128" t="s">
        <v>344</v>
      </c>
      <c r="E37" s="128" t="s">
        <v>162</v>
      </c>
      <c r="F37" s="128" t="s">
        <v>317</v>
      </c>
      <c r="G37" s="196" t="s">
        <v>274</v>
      </c>
      <c r="H37" s="117">
        <v>43000</v>
      </c>
      <c r="I37" s="237" t="s">
        <v>261</v>
      </c>
      <c r="J37" s="117">
        <f>21500+21500</f>
        <v>43000</v>
      </c>
      <c r="K37" s="117"/>
      <c r="L37" s="119"/>
      <c r="M37" s="85">
        <f>SUM(J37:L37)</f>
        <v>43000</v>
      </c>
      <c r="N37" s="85">
        <f>SUM(H37-M37)</f>
        <v>0</v>
      </c>
      <c r="O37" s="85"/>
    </row>
    <row r="38" spans="1:15" s="68" customFormat="1" ht="19.5" customHeight="1" x14ac:dyDescent="0.2">
      <c r="A38" s="179" t="s">
        <v>103</v>
      </c>
      <c r="B38" s="12"/>
      <c r="C38" s="12" t="s">
        <v>147</v>
      </c>
      <c r="D38" s="12" t="s">
        <v>173</v>
      </c>
      <c r="E38" s="12" t="s">
        <v>149</v>
      </c>
      <c r="F38" s="12" t="s">
        <v>147</v>
      </c>
      <c r="G38" s="12" t="s">
        <v>147</v>
      </c>
      <c r="H38" s="123">
        <f>SUM(H39)</f>
        <v>227800</v>
      </c>
      <c r="I38" s="239" t="s">
        <v>261</v>
      </c>
      <c r="J38" s="123">
        <f>SUM(J39)</f>
        <v>159645.99000000002</v>
      </c>
      <c r="K38" s="123">
        <f>SUM(K39)</f>
        <v>0</v>
      </c>
      <c r="L38" s="123">
        <f>SUM(L39)</f>
        <v>0</v>
      </c>
      <c r="M38" s="95">
        <f t="shared" si="0"/>
        <v>159645.99000000002</v>
      </c>
      <c r="N38" s="95">
        <f t="shared" si="1"/>
        <v>68154.00999999998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147</v>
      </c>
      <c r="D39" s="125" t="s">
        <v>174</v>
      </c>
      <c r="E39" s="125" t="s">
        <v>149</v>
      </c>
      <c r="F39" s="125" t="s">
        <v>147</v>
      </c>
      <c r="G39" s="125" t="s">
        <v>147</v>
      </c>
      <c r="H39" s="44">
        <f>SUM(H40:H46)</f>
        <v>227800</v>
      </c>
      <c r="I39" s="232" t="s">
        <v>261</v>
      </c>
      <c r="J39" s="44">
        <f>SUM(J40:J46)</f>
        <v>159645.99000000002</v>
      </c>
      <c r="K39" s="44">
        <f>SUM(K40:K46)</f>
        <v>0</v>
      </c>
      <c r="L39" s="44">
        <f>SUM(L40:L46)</f>
        <v>0</v>
      </c>
      <c r="M39" s="44">
        <f>SUM(M40:M46)</f>
        <v>159645.99000000002</v>
      </c>
      <c r="N39" s="44">
        <f>SUM(N40:N46)</f>
        <v>68154.009999999995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250</v>
      </c>
      <c r="D40" s="166" t="s">
        <v>174</v>
      </c>
      <c r="E40" s="166" t="s">
        <v>175</v>
      </c>
      <c r="F40" s="166" t="s">
        <v>297</v>
      </c>
      <c r="G40" s="166" t="s">
        <v>152</v>
      </c>
      <c r="H40" s="73">
        <v>167800</v>
      </c>
      <c r="I40" s="233" t="s">
        <v>261</v>
      </c>
      <c r="J40" s="246">
        <f>48980.8+3793.6+9400+1715+2078.6+9400+1715+17700+2078.6+4159.39+14500+4566.14+4700+1191</f>
        <v>125978.13</v>
      </c>
      <c r="K40" s="73"/>
      <c r="L40" s="73"/>
      <c r="M40" s="73">
        <f>SUM(J40:L40)</f>
        <v>125978.13</v>
      </c>
      <c r="N40" s="73">
        <f t="shared" si="1"/>
        <v>41821.869999999995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250</v>
      </c>
      <c r="D41" s="166" t="s">
        <v>174</v>
      </c>
      <c r="E41" s="166" t="s">
        <v>175</v>
      </c>
      <c r="F41" s="166" t="s">
        <v>297</v>
      </c>
      <c r="G41" s="128" t="s">
        <v>153</v>
      </c>
      <c r="H41" s="73">
        <v>50600</v>
      </c>
      <c r="I41" s="233" t="s">
        <v>261</v>
      </c>
      <c r="J41" s="73">
        <f>8017+4215.01+3958.07+3958.07+5357.83+4455+2746.88</f>
        <v>32707.860000000004</v>
      </c>
      <c r="K41" s="73"/>
      <c r="L41" s="73"/>
      <c r="M41" s="73">
        <f>SUM(J41:L41)</f>
        <v>32707.860000000004</v>
      </c>
      <c r="N41" s="73">
        <f t="shared" si="1"/>
        <v>17892.139999999996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250</v>
      </c>
      <c r="D42" s="166" t="s">
        <v>174</v>
      </c>
      <c r="E42" s="166" t="s">
        <v>175</v>
      </c>
      <c r="F42" s="166" t="s">
        <v>81</v>
      </c>
      <c r="G42" s="128" t="s">
        <v>164</v>
      </c>
      <c r="H42" s="73"/>
      <c r="I42" s="233" t="s">
        <v>261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250</v>
      </c>
      <c r="D43" s="166" t="s">
        <v>174</v>
      </c>
      <c r="E43" s="166" t="s">
        <v>175</v>
      </c>
      <c r="F43" s="166" t="s">
        <v>299</v>
      </c>
      <c r="G43" s="128" t="s">
        <v>165</v>
      </c>
      <c r="H43" s="73">
        <v>3900</v>
      </c>
      <c r="I43" s="233" t="s">
        <v>261</v>
      </c>
      <c r="J43" s="255">
        <f>960</f>
        <v>960</v>
      </c>
      <c r="K43" s="73"/>
      <c r="L43" s="73"/>
      <c r="M43" s="73">
        <f>SUM(J43:L43)</f>
        <v>960</v>
      </c>
      <c r="N43" s="73">
        <f>SUM(H43-M43)</f>
        <v>2940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250</v>
      </c>
      <c r="D44" s="196" t="s">
        <v>251</v>
      </c>
      <c r="E44" s="196" t="s">
        <v>175</v>
      </c>
      <c r="F44" s="196" t="s">
        <v>81</v>
      </c>
      <c r="G44" s="128" t="s">
        <v>168</v>
      </c>
      <c r="H44" s="120"/>
      <c r="I44" s="238" t="s">
        <v>261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250</v>
      </c>
      <c r="D45" s="166" t="s">
        <v>174</v>
      </c>
      <c r="E45" s="166" t="s">
        <v>175</v>
      </c>
      <c r="F45" s="166" t="s">
        <v>81</v>
      </c>
      <c r="G45" s="128" t="s">
        <v>170</v>
      </c>
      <c r="H45" s="73"/>
      <c r="I45" s="233" t="s">
        <v>261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250</v>
      </c>
      <c r="D46" s="166" t="s">
        <v>174</v>
      </c>
      <c r="E46" s="166" t="s">
        <v>175</v>
      </c>
      <c r="F46" s="166" t="s">
        <v>299</v>
      </c>
      <c r="G46" s="128" t="s">
        <v>171</v>
      </c>
      <c r="H46" s="73">
        <v>5500</v>
      </c>
      <c r="I46" s="233" t="s">
        <v>261</v>
      </c>
      <c r="J46" s="73"/>
      <c r="K46" s="73"/>
      <c r="L46" s="73"/>
      <c r="M46" s="73">
        <f>SUM(J46:L46)</f>
        <v>0</v>
      </c>
      <c r="N46" s="73">
        <f>SUM(H46-M46)</f>
        <v>5500</v>
      </c>
      <c r="O46" s="73"/>
    </row>
    <row r="47" spans="1:15" s="68" customFormat="1" ht="27.75" customHeight="1" x14ac:dyDescent="0.2">
      <c r="A47" s="121" t="s">
        <v>104</v>
      </c>
      <c r="B47" s="12"/>
      <c r="C47" s="12" t="s">
        <v>147</v>
      </c>
      <c r="D47" s="12" t="s">
        <v>176</v>
      </c>
      <c r="E47" s="12" t="s">
        <v>149</v>
      </c>
      <c r="F47" s="12" t="s">
        <v>147</v>
      </c>
      <c r="G47" s="12" t="s">
        <v>147</v>
      </c>
      <c r="H47" s="123">
        <f>SUM(H56+H60+H64+H48)</f>
        <v>70000</v>
      </c>
      <c r="I47" s="239" t="s">
        <v>261</v>
      </c>
      <c r="J47" s="123">
        <f>SUM(J56+J60+J64+J48)</f>
        <v>21900</v>
      </c>
      <c r="K47" s="123">
        <f>SUM(K56+K60+K64+K48)</f>
        <v>0</v>
      </c>
      <c r="L47" s="123">
        <f>SUM(L56+L60+L64+L48)</f>
        <v>0</v>
      </c>
      <c r="M47" s="123">
        <f>SUM(M56+M60+M64+M48)</f>
        <v>21900</v>
      </c>
      <c r="N47" s="123">
        <f>SUM(N56+N60+N64+N48)</f>
        <v>48100</v>
      </c>
      <c r="O47" s="123"/>
    </row>
    <row r="48" spans="1:15" s="68" customFormat="1" ht="45" x14ac:dyDescent="0.2">
      <c r="A48" s="111" t="s">
        <v>138</v>
      </c>
      <c r="B48" s="195"/>
      <c r="C48" s="195" t="s">
        <v>147</v>
      </c>
      <c r="D48" s="195" t="s">
        <v>304</v>
      </c>
      <c r="E48" s="195" t="s">
        <v>149</v>
      </c>
      <c r="F48" s="195" t="s">
        <v>147</v>
      </c>
      <c r="G48" s="195" t="s">
        <v>147</v>
      </c>
      <c r="H48" s="84">
        <f>SUM(H49+H51+H50)</f>
        <v>30000</v>
      </c>
      <c r="I48" s="240" t="s">
        <v>261</v>
      </c>
      <c r="J48" s="84">
        <f>SUM(J49+J51+J50)</f>
        <v>21900</v>
      </c>
      <c r="K48" s="84">
        <f>SUM(K49+K50)</f>
        <v>0</v>
      </c>
      <c r="L48" s="84">
        <f>SUM(L49+L50)</f>
        <v>0</v>
      </c>
      <c r="M48" s="84">
        <f>SUM(M49+M50)</f>
        <v>21900</v>
      </c>
      <c r="N48" s="84">
        <f>SUM(N49+N50)</f>
        <v>8100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250</v>
      </c>
      <c r="D49" s="128" t="s">
        <v>304</v>
      </c>
      <c r="E49" s="128" t="s">
        <v>305</v>
      </c>
      <c r="F49" s="128" t="s">
        <v>299</v>
      </c>
      <c r="G49" s="128" t="s">
        <v>168</v>
      </c>
      <c r="H49" s="73">
        <f>30000-21900</f>
        <v>8100</v>
      </c>
      <c r="I49" s="233" t="s">
        <v>261</v>
      </c>
      <c r="J49" s="73"/>
      <c r="K49" s="73"/>
      <c r="L49" s="73"/>
      <c r="M49" s="73">
        <f>SUM(J49:L49)</f>
        <v>0</v>
      </c>
      <c r="N49" s="73">
        <f>SUM(H49-M49)</f>
        <v>8100</v>
      </c>
      <c r="O49" s="73"/>
    </row>
    <row r="50" spans="1:15" s="51" customFormat="1" ht="19.5" customHeight="1" x14ac:dyDescent="0.2">
      <c r="A50" s="112" t="s">
        <v>316</v>
      </c>
      <c r="B50" s="128"/>
      <c r="C50" s="128" t="s">
        <v>250</v>
      </c>
      <c r="D50" s="128" t="s">
        <v>304</v>
      </c>
      <c r="E50" s="128" t="s">
        <v>305</v>
      </c>
      <c r="F50" s="128" t="s">
        <v>299</v>
      </c>
      <c r="G50" s="128" t="s">
        <v>170</v>
      </c>
      <c r="H50" s="73">
        <v>21900</v>
      </c>
      <c r="I50" s="233" t="s">
        <v>261</v>
      </c>
      <c r="J50" s="246">
        <v>21900</v>
      </c>
      <c r="K50" s="73"/>
      <c r="L50" s="73"/>
      <c r="M50" s="73">
        <f>SUM(J50:L50)</f>
        <v>21900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333</v>
      </c>
      <c r="B51" s="128"/>
      <c r="C51" s="128" t="s">
        <v>250</v>
      </c>
      <c r="D51" s="128" t="s">
        <v>304</v>
      </c>
      <c r="E51" s="128" t="s">
        <v>305</v>
      </c>
      <c r="F51" s="128" t="s">
        <v>299</v>
      </c>
      <c r="G51" s="128" t="s">
        <v>171</v>
      </c>
      <c r="H51" s="73"/>
      <c r="I51" s="233" t="s">
        <v>261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83</v>
      </c>
      <c r="B52" s="114"/>
      <c r="C52" s="195" t="s">
        <v>147</v>
      </c>
      <c r="D52" s="125" t="s">
        <v>314</v>
      </c>
      <c r="E52" s="195" t="s">
        <v>149</v>
      </c>
      <c r="F52" s="195" t="s">
        <v>147</v>
      </c>
      <c r="G52" s="195" t="s">
        <v>147</v>
      </c>
      <c r="H52" s="120">
        <f>SUM(H53:H55)</f>
        <v>6800</v>
      </c>
      <c r="I52" s="238" t="s">
        <v>261</v>
      </c>
      <c r="J52" s="120">
        <f>SUM(J53:J55)</f>
        <v>4000</v>
      </c>
      <c r="K52" s="120">
        <f>SUM(K53:K55)</f>
        <v>0</v>
      </c>
      <c r="L52" s="120">
        <f>SUM(L53:L55)</f>
        <v>0</v>
      </c>
      <c r="M52" s="120">
        <f>SUM(M53:M55)</f>
        <v>4000</v>
      </c>
      <c r="N52" s="120">
        <f>SUM(N53:N55)</f>
        <v>2800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250</v>
      </c>
      <c r="D53" s="196" t="s">
        <v>314</v>
      </c>
      <c r="E53" s="196" t="s">
        <v>347</v>
      </c>
      <c r="F53" s="196" t="s">
        <v>299</v>
      </c>
      <c r="G53" s="128" t="s">
        <v>168</v>
      </c>
      <c r="H53" s="120"/>
      <c r="I53" s="238" t="s">
        <v>261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250</v>
      </c>
      <c r="D54" s="196" t="s">
        <v>314</v>
      </c>
      <c r="E54" s="196" t="s">
        <v>347</v>
      </c>
      <c r="F54" s="196" t="s">
        <v>299</v>
      </c>
      <c r="G54" s="196" t="s">
        <v>170</v>
      </c>
      <c r="H54" s="117"/>
      <c r="I54" s="237" t="s">
        <v>261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250</v>
      </c>
      <c r="D55" s="196" t="s">
        <v>314</v>
      </c>
      <c r="E55" s="196" t="s">
        <v>347</v>
      </c>
      <c r="F55" s="196" t="s">
        <v>299</v>
      </c>
      <c r="G55" s="196" t="s">
        <v>171</v>
      </c>
      <c r="H55" s="117">
        <v>6800</v>
      </c>
      <c r="I55" s="237" t="s">
        <v>261</v>
      </c>
      <c r="J55" s="247">
        <f>2000+2000</f>
        <v>4000</v>
      </c>
      <c r="K55" s="117"/>
      <c r="L55" s="119"/>
      <c r="M55" s="73">
        <f>SUM(J55:L55)</f>
        <v>4000</v>
      </c>
      <c r="N55" s="73">
        <f>SUM(H55-M55)</f>
        <v>2800</v>
      </c>
      <c r="O55" s="73"/>
    </row>
    <row r="56" spans="1:15" s="68" customFormat="1" ht="45" x14ac:dyDescent="0.2">
      <c r="A56" s="111" t="s">
        <v>138</v>
      </c>
      <c r="B56" s="195"/>
      <c r="C56" s="195" t="s">
        <v>147</v>
      </c>
      <c r="D56" s="195" t="s">
        <v>177</v>
      </c>
      <c r="E56" s="195" t="s">
        <v>149</v>
      </c>
      <c r="F56" s="195" t="s">
        <v>147</v>
      </c>
      <c r="G56" s="195" t="s">
        <v>147</v>
      </c>
      <c r="H56" s="84">
        <f>SUM(H58+H57)</f>
        <v>20000</v>
      </c>
      <c r="I56" s="240" t="s">
        <v>261</v>
      </c>
      <c r="J56" s="84">
        <f>SUM(J58+J57)</f>
        <v>0</v>
      </c>
      <c r="K56" s="84">
        <f>SUM(K58+K59)</f>
        <v>0</v>
      </c>
      <c r="L56" s="84">
        <f>SUM(L58+L59)</f>
        <v>0</v>
      </c>
      <c r="M56" s="84">
        <f>SUM(M58+M59)</f>
        <v>0</v>
      </c>
      <c r="N56" s="84">
        <f>SUM(N58+N57)</f>
        <v>20000</v>
      </c>
      <c r="O56" s="84"/>
    </row>
    <row r="57" spans="1:15" s="51" customFormat="1" ht="19.5" customHeight="1" x14ac:dyDescent="0.2">
      <c r="A57" s="162" t="s">
        <v>27</v>
      </c>
      <c r="B57" s="128"/>
      <c r="C57" s="128" t="s">
        <v>250</v>
      </c>
      <c r="D57" s="128" t="s">
        <v>177</v>
      </c>
      <c r="E57" s="128" t="s">
        <v>178</v>
      </c>
      <c r="F57" s="128" t="s">
        <v>299</v>
      </c>
      <c r="G57" s="128" t="s">
        <v>167</v>
      </c>
      <c r="H57" s="73"/>
      <c r="I57" s="233" t="s">
        <v>261</v>
      </c>
      <c r="J57" s="73"/>
      <c r="K57" s="73"/>
      <c r="L57" s="73"/>
      <c r="M57" s="73">
        <f>SUM(J57:L57)</f>
        <v>0</v>
      </c>
      <c r="N57" s="73">
        <f>SUM(H57-M57)</f>
        <v>0</v>
      </c>
      <c r="O57" s="73"/>
    </row>
    <row r="58" spans="1:15" s="51" customFormat="1" ht="19.5" customHeight="1" x14ac:dyDescent="0.2">
      <c r="A58" s="162" t="s">
        <v>27</v>
      </c>
      <c r="B58" s="128"/>
      <c r="C58" s="128" t="s">
        <v>250</v>
      </c>
      <c r="D58" s="128" t="s">
        <v>177</v>
      </c>
      <c r="E58" s="128" t="s">
        <v>178</v>
      </c>
      <c r="F58" s="128" t="s">
        <v>299</v>
      </c>
      <c r="G58" s="128" t="s">
        <v>168</v>
      </c>
      <c r="H58" s="73">
        <v>20000</v>
      </c>
      <c r="I58" s="233" t="s">
        <v>261</v>
      </c>
      <c r="J58" s="73"/>
      <c r="K58" s="73"/>
      <c r="L58" s="73"/>
      <c r="M58" s="73">
        <f>SUM(J58:L58)</f>
        <v>0</v>
      </c>
      <c r="N58" s="73">
        <f>SUM(H58-M58)</f>
        <v>20000</v>
      </c>
      <c r="O58" s="73"/>
    </row>
    <row r="59" spans="1:15" s="51" customFormat="1" ht="19.5" customHeight="1" x14ac:dyDescent="0.2">
      <c r="A59" s="112" t="s">
        <v>30</v>
      </c>
      <c r="B59" s="128"/>
      <c r="C59" s="128" t="s">
        <v>250</v>
      </c>
      <c r="D59" s="128" t="s">
        <v>177</v>
      </c>
      <c r="E59" s="128" t="s">
        <v>178</v>
      </c>
      <c r="F59" s="128" t="s">
        <v>299</v>
      </c>
      <c r="G59" s="128" t="s">
        <v>170</v>
      </c>
      <c r="H59" s="73"/>
      <c r="I59" s="233" t="s">
        <v>261</v>
      </c>
      <c r="J59" s="246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90" customFormat="1" ht="15.75" x14ac:dyDescent="0.2">
      <c r="A60" s="222" t="s">
        <v>221</v>
      </c>
      <c r="B60" s="223"/>
      <c r="C60" s="223" t="s">
        <v>147</v>
      </c>
      <c r="D60" s="223" t="s">
        <v>220</v>
      </c>
      <c r="E60" s="223" t="s">
        <v>149</v>
      </c>
      <c r="F60" s="223" t="s">
        <v>147</v>
      </c>
      <c r="G60" s="223" t="s">
        <v>147</v>
      </c>
      <c r="H60" s="224">
        <f>SUM(H61+H62)</f>
        <v>20000</v>
      </c>
      <c r="I60" s="241" t="s">
        <v>261</v>
      </c>
      <c r="J60" s="224">
        <f>SUM(J61+J62)</f>
        <v>0</v>
      </c>
      <c r="K60" s="224">
        <f>SUM(K61+K63)</f>
        <v>0</v>
      </c>
      <c r="L60" s="224">
        <f>SUM(L61+L63)</f>
        <v>0</v>
      </c>
      <c r="M60" s="224">
        <f>SUM(M61+M62)</f>
        <v>0</v>
      </c>
      <c r="N60" s="224">
        <f>SUM(N61+N62)</f>
        <v>20000</v>
      </c>
      <c r="O60" s="224"/>
    </row>
    <row r="61" spans="1:15" s="51" customFormat="1" ht="17.25" customHeight="1" x14ac:dyDescent="0.2">
      <c r="A61" s="162" t="s">
        <v>37</v>
      </c>
      <c r="B61" s="128"/>
      <c r="C61" s="128" t="s">
        <v>250</v>
      </c>
      <c r="D61" s="128" t="s">
        <v>220</v>
      </c>
      <c r="E61" s="128" t="s">
        <v>222</v>
      </c>
      <c r="F61" s="128" t="s">
        <v>299</v>
      </c>
      <c r="G61" s="128" t="s">
        <v>167</v>
      </c>
      <c r="H61" s="73"/>
      <c r="I61" s="233" t="s">
        <v>261</v>
      </c>
      <c r="J61" s="73"/>
      <c r="K61" s="73"/>
      <c r="L61" s="73"/>
      <c r="M61" s="73">
        <f>SUM(J61:L61)</f>
        <v>0</v>
      </c>
      <c r="N61" s="73">
        <f>SUM(H61-M61)</f>
        <v>0</v>
      </c>
      <c r="O61" s="73"/>
    </row>
    <row r="62" spans="1:15" s="51" customFormat="1" ht="17.25" customHeight="1" x14ac:dyDescent="0.2">
      <c r="A62" s="162" t="s">
        <v>37</v>
      </c>
      <c r="B62" s="128"/>
      <c r="C62" s="128" t="s">
        <v>250</v>
      </c>
      <c r="D62" s="128" t="s">
        <v>220</v>
      </c>
      <c r="E62" s="128" t="s">
        <v>222</v>
      </c>
      <c r="F62" s="128" t="s">
        <v>299</v>
      </c>
      <c r="G62" s="128" t="s">
        <v>168</v>
      </c>
      <c r="H62" s="73">
        <v>20000</v>
      </c>
      <c r="I62" s="233" t="s">
        <v>261</v>
      </c>
      <c r="J62" s="73"/>
      <c r="K62" s="73"/>
      <c r="L62" s="73"/>
      <c r="M62" s="73">
        <f>SUM(J62:L62)</f>
        <v>0</v>
      </c>
      <c r="N62" s="73">
        <f>SUM(H62-M62)</f>
        <v>20000</v>
      </c>
      <c r="O62" s="73"/>
    </row>
    <row r="63" spans="1:15" s="51" customFormat="1" x14ac:dyDescent="0.2">
      <c r="A63" s="112" t="s">
        <v>30</v>
      </c>
      <c r="B63" s="128"/>
      <c r="C63" s="128" t="s">
        <v>250</v>
      </c>
      <c r="D63" s="128" t="s">
        <v>220</v>
      </c>
      <c r="E63" s="128" t="s">
        <v>222</v>
      </c>
      <c r="F63" s="128" t="s">
        <v>201</v>
      </c>
      <c r="G63" s="128" t="s">
        <v>171</v>
      </c>
      <c r="H63" s="73"/>
      <c r="I63" s="233" t="s">
        <v>261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51" customFormat="1" x14ac:dyDescent="0.2">
      <c r="A64" s="112"/>
      <c r="B64" s="128"/>
      <c r="C64" s="128"/>
      <c r="D64" s="128"/>
      <c r="E64" s="128"/>
      <c r="F64" s="128"/>
      <c r="G64" s="128"/>
      <c r="H64" s="224">
        <f>SUM(H65)</f>
        <v>0</v>
      </c>
      <c r="I64" s="233"/>
      <c r="J64" s="224">
        <v>0</v>
      </c>
      <c r="K64" s="73"/>
      <c r="L64" s="73"/>
      <c r="M64" s="73"/>
      <c r="N64" s="73"/>
      <c r="O64" s="73"/>
    </row>
    <row r="65" spans="1:15" s="51" customFormat="1" x14ac:dyDescent="0.2">
      <c r="A65" s="112" t="s">
        <v>30</v>
      </c>
      <c r="B65" s="128"/>
      <c r="C65" s="128" t="s">
        <v>250</v>
      </c>
      <c r="D65" s="128" t="s">
        <v>294</v>
      </c>
      <c r="E65" s="128" t="s">
        <v>295</v>
      </c>
      <c r="F65" s="128" t="s">
        <v>201</v>
      </c>
      <c r="G65" s="128" t="s">
        <v>171</v>
      </c>
      <c r="H65" s="73"/>
      <c r="I65" s="233" t="s">
        <v>261</v>
      </c>
      <c r="J65" s="73"/>
      <c r="K65" s="73"/>
      <c r="L65" s="73"/>
      <c r="M65" s="73">
        <f>SUM(J65:L65)</f>
        <v>0</v>
      </c>
      <c r="N65" s="73">
        <f>SUM(H65-M65)</f>
        <v>0</v>
      </c>
      <c r="O65" s="73"/>
    </row>
    <row r="66" spans="1:15" s="68" customFormat="1" ht="15.75" x14ac:dyDescent="0.2">
      <c r="A66" s="91" t="s">
        <v>32</v>
      </c>
      <c r="B66" s="197"/>
      <c r="C66" s="197" t="s">
        <v>147</v>
      </c>
      <c r="D66" s="197" t="s">
        <v>179</v>
      </c>
      <c r="E66" s="197" t="s">
        <v>149</v>
      </c>
      <c r="F66" s="197" t="s">
        <v>147</v>
      </c>
      <c r="G66" s="197" t="s">
        <v>147</v>
      </c>
      <c r="H66" s="95">
        <f>SUM(H67+H70+H76)</f>
        <v>3425200</v>
      </c>
      <c r="I66" s="242" t="s">
        <v>261</v>
      </c>
      <c r="J66" s="95">
        <f>SUM(J67+J70+J76)</f>
        <v>399566.9</v>
      </c>
      <c r="K66" s="95">
        <f>SUM(K67+K70+K76)</f>
        <v>0</v>
      </c>
      <c r="L66" s="95">
        <f>SUM(L67+L70+L76)</f>
        <v>0</v>
      </c>
      <c r="M66" s="95">
        <f>SUM(M67+M70+M76)</f>
        <v>373356.9</v>
      </c>
      <c r="N66" s="95">
        <f>SUM(N67+N70+N76)</f>
        <v>26243.099999999962</v>
      </c>
      <c r="O66" s="95"/>
    </row>
    <row r="67" spans="1:15" s="90" customFormat="1" ht="15.75" x14ac:dyDescent="0.2">
      <c r="A67" s="222" t="s">
        <v>272</v>
      </c>
      <c r="B67" s="223"/>
      <c r="C67" s="223" t="s">
        <v>147</v>
      </c>
      <c r="D67" s="223" t="s">
        <v>252</v>
      </c>
      <c r="E67" s="223" t="s">
        <v>149</v>
      </c>
      <c r="F67" s="223" t="s">
        <v>147</v>
      </c>
      <c r="G67" s="223" t="s">
        <v>147</v>
      </c>
      <c r="H67" s="224">
        <f>SUM(H68+H69)</f>
        <v>56600</v>
      </c>
      <c r="I67" s="241" t="s">
        <v>261</v>
      </c>
      <c r="J67" s="224">
        <f>SUM(J68+J69)</f>
        <v>32576.17</v>
      </c>
      <c r="K67" s="224">
        <f>SUM(K68+K69)</f>
        <v>0</v>
      </c>
      <c r="L67" s="224">
        <f>SUM(L68+L69)</f>
        <v>0</v>
      </c>
      <c r="M67" s="224">
        <f>SUM(M68+M69)</f>
        <v>32576.17</v>
      </c>
      <c r="N67" s="224">
        <f>SUM(N68+N69)</f>
        <v>24023.83</v>
      </c>
      <c r="O67" s="224"/>
    </row>
    <row r="68" spans="1:15" s="51" customFormat="1" ht="17.25" customHeight="1" x14ac:dyDescent="0.2">
      <c r="A68" s="162" t="s">
        <v>255</v>
      </c>
      <c r="B68" s="128"/>
      <c r="C68" s="128" t="s">
        <v>250</v>
      </c>
      <c r="D68" s="128" t="s">
        <v>252</v>
      </c>
      <c r="E68" s="128" t="s">
        <v>345</v>
      </c>
      <c r="F68" s="128" t="s">
        <v>299</v>
      </c>
      <c r="G68" s="128" t="s">
        <v>168</v>
      </c>
      <c r="H68" s="73">
        <v>56600</v>
      </c>
      <c r="I68" s="233" t="s">
        <v>261</v>
      </c>
      <c r="J68" s="73">
        <f>13147.8+8901.06+4419.8+6107.51</f>
        <v>32576.17</v>
      </c>
      <c r="K68" s="73"/>
      <c r="L68" s="73"/>
      <c r="M68" s="73">
        <f>SUM(J68:L68)</f>
        <v>32576.17</v>
      </c>
      <c r="N68" s="73">
        <f>SUM(H68-M68)</f>
        <v>24023.83</v>
      </c>
      <c r="O68" s="73"/>
    </row>
    <row r="69" spans="1:15" s="51" customFormat="1" x14ac:dyDescent="0.2">
      <c r="A69" s="162" t="s">
        <v>255</v>
      </c>
      <c r="B69" s="128"/>
      <c r="C69" s="128" t="s">
        <v>250</v>
      </c>
      <c r="D69" s="128" t="s">
        <v>252</v>
      </c>
      <c r="E69" s="128" t="s">
        <v>253</v>
      </c>
      <c r="F69" s="128" t="s">
        <v>254</v>
      </c>
      <c r="G69" s="128" t="s">
        <v>169</v>
      </c>
      <c r="H69" s="73"/>
      <c r="I69" s="233" t="s">
        <v>261</v>
      </c>
      <c r="J69" s="73"/>
      <c r="K69" s="73"/>
      <c r="L69" s="73"/>
      <c r="M69" s="73">
        <f>SUM(J69:L69)</f>
        <v>0</v>
      </c>
      <c r="N69" s="73">
        <f>SUM(H69-M69)</f>
        <v>0</v>
      </c>
      <c r="O69" s="73"/>
    </row>
    <row r="70" spans="1:15" s="68" customFormat="1" ht="15.75" x14ac:dyDescent="0.2">
      <c r="A70" s="111" t="s">
        <v>306</v>
      </c>
      <c r="B70" s="195"/>
      <c r="C70" s="195" t="s">
        <v>147</v>
      </c>
      <c r="D70" s="195" t="s">
        <v>307</v>
      </c>
      <c r="E70" s="195" t="s">
        <v>149</v>
      </c>
      <c r="F70" s="195" t="s">
        <v>147</v>
      </c>
      <c r="G70" s="195" t="s">
        <v>147</v>
      </c>
      <c r="H70" s="84">
        <f>SUM(H71:H75)</f>
        <v>3368600</v>
      </c>
      <c r="I70" s="240" t="s">
        <v>261</v>
      </c>
      <c r="J70" s="84">
        <f>SUM(J71:J75)</f>
        <v>366990.73000000004</v>
      </c>
      <c r="K70" s="84">
        <f>SUM(K71:K73)</f>
        <v>0</v>
      </c>
      <c r="L70" s="84">
        <f>SUM(L71:L73)</f>
        <v>0</v>
      </c>
      <c r="M70" s="84">
        <f>SUM(M71:M73)</f>
        <v>340780.73000000004</v>
      </c>
      <c r="N70" s="84">
        <f>SUM(N71:N73)</f>
        <v>2219.2699999999604</v>
      </c>
      <c r="O70" s="84"/>
    </row>
    <row r="71" spans="1:15" s="51" customFormat="1" x14ac:dyDescent="0.2">
      <c r="A71" s="167" t="s">
        <v>26</v>
      </c>
      <c r="B71" s="128"/>
      <c r="C71" s="128" t="s">
        <v>250</v>
      </c>
      <c r="D71" s="128" t="s">
        <v>307</v>
      </c>
      <c r="E71" s="128" t="s">
        <v>308</v>
      </c>
      <c r="F71" s="128" t="s">
        <v>299</v>
      </c>
      <c r="G71" s="128" t="s">
        <v>167</v>
      </c>
      <c r="H71" s="73">
        <f>157150+88000+24000+60000</f>
        <v>329150</v>
      </c>
      <c r="I71" s="233" t="s">
        <v>261</v>
      </c>
      <c r="J71" s="73">
        <f>97139+60000+49647+37513.35+24445.8+32440.8+13443.78+12528</f>
        <v>327157.73000000004</v>
      </c>
      <c r="K71" s="73"/>
      <c r="L71" s="73"/>
      <c r="M71" s="73">
        <f t="shared" ref="M71:M79" si="2">SUM(J71:L71)</f>
        <v>327157.73000000004</v>
      </c>
      <c r="N71" s="73">
        <f t="shared" ref="N71:N79" si="3">SUM(H71-M71)</f>
        <v>1992.2699999999604</v>
      </c>
      <c r="O71" s="73"/>
    </row>
    <row r="72" spans="1:15" s="51" customFormat="1" x14ac:dyDescent="0.2">
      <c r="A72" s="162" t="s">
        <v>255</v>
      </c>
      <c r="B72" s="128"/>
      <c r="C72" s="128" t="s">
        <v>250</v>
      </c>
      <c r="D72" s="128" t="s">
        <v>307</v>
      </c>
      <c r="E72" s="128" t="s">
        <v>308</v>
      </c>
      <c r="F72" s="128" t="s">
        <v>299</v>
      </c>
      <c r="G72" s="128" t="s">
        <v>168</v>
      </c>
      <c r="H72" s="73">
        <f>2000+3000</f>
        <v>5000</v>
      </c>
      <c r="I72" s="233"/>
      <c r="J72" s="73">
        <f>1943+3000</f>
        <v>4943</v>
      </c>
      <c r="K72" s="73"/>
      <c r="L72" s="73"/>
      <c r="M72" s="73">
        <f t="shared" si="2"/>
        <v>4943</v>
      </c>
      <c r="N72" s="73">
        <f t="shared" si="3"/>
        <v>57</v>
      </c>
      <c r="O72" s="73"/>
    </row>
    <row r="73" spans="1:15" s="51" customFormat="1" x14ac:dyDescent="0.2">
      <c r="A73" s="112" t="s">
        <v>30</v>
      </c>
      <c r="B73" s="128"/>
      <c r="C73" s="128" t="s">
        <v>250</v>
      </c>
      <c r="D73" s="128" t="s">
        <v>307</v>
      </c>
      <c r="E73" s="128" t="s">
        <v>308</v>
      </c>
      <c r="F73" s="128" t="s">
        <v>299</v>
      </c>
      <c r="G73" s="128" t="s">
        <v>171</v>
      </c>
      <c r="H73" s="73">
        <f>50000+50000-31000-7000-2000-57150+5000+1000</f>
        <v>8850</v>
      </c>
      <c r="I73" s="233" t="s">
        <v>261</v>
      </c>
      <c r="J73" s="73">
        <f>1866+948-1866+4980+1576+1176</f>
        <v>8680</v>
      </c>
      <c r="K73" s="73"/>
      <c r="L73" s="73"/>
      <c r="M73" s="73">
        <f t="shared" si="2"/>
        <v>8680</v>
      </c>
      <c r="N73" s="73">
        <f t="shared" si="3"/>
        <v>170</v>
      </c>
      <c r="O73" s="73"/>
    </row>
    <row r="74" spans="1:15" s="51" customFormat="1" x14ac:dyDescent="0.2">
      <c r="A74" s="167" t="s">
        <v>26</v>
      </c>
      <c r="B74" s="128"/>
      <c r="C74" s="128" t="s">
        <v>250</v>
      </c>
      <c r="D74" s="128" t="s">
        <v>307</v>
      </c>
      <c r="E74" s="128" t="s">
        <v>321</v>
      </c>
      <c r="F74" s="128" t="s">
        <v>299</v>
      </c>
      <c r="G74" s="128" t="s">
        <v>167</v>
      </c>
      <c r="H74" s="73">
        <f>3025600-26300</f>
        <v>2999300</v>
      </c>
      <c r="I74" s="233" t="s">
        <v>261</v>
      </c>
      <c r="J74" s="73"/>
      <c r="K74" s="73"/>
      <c r="L74" s="73"/>
      <c r="M74" s="73">
        <f t="shared" ref="M74" si="4">SUM(J74:L74)</f>
        <v>0</v>
      </c>
      <c r="N74" s="73">
        <f t="shared" ref="N74" si="5">SUM(H74-M74)</f>
        <v>2999300</v>
      </c>
      <c r="O74" s="73"/>
    </row>
    <row r="75" spans="1:15" s="51" customFormat="1" x14ac:dyDescent="0.2">
      <c r="A75" s="162" t="s">
        <v>255</v>
      </c>
      <c r="B75" s="128"/>
      <c r="C75" s="128" t="s">
        <v>250</v>
      </c>
      <c r="D75" s="128" t="s">
        <v>307</v>
      </c>
      <c r="E75" s="128" t="s">
        <v>321</v>
      </c>
      <c r="F75" s="128" t="s">
        <v>299</v>
      </c>
      <c r="G75" s="128" t="s">
        <v>168</v>
      </c>
      <c r="H75" s="73">
        <v>26300</v>
      </c>
      <c r="I75" s="233" t="s">
        <v>261</v>
      </c>
      <c r="J75" s="73">
        <v>26210</v>
      </c>
      <c r="K75" s="73"/>
      <c r="L75" s="73"/>
      <c r="M75" s="73">
        <f t="shared" si="2"/>
        <v>26210</v>
      </c>
      <c r="N75" s="73">
        <f t="shared" si="3"/>
        <v>90</v>
      </c>
      <c r="O75" s="73"/>
    </row>
    <row r="76" spans="1:15" s="68" customFormat="1" ht="15.75" x14ac:dyDescent="0.2">
      <c r="A76" s="127" t="s">
        <v>243</v>
      </c>
      <c r="B76" s="195"/>
      <c r="C76" s="195" t="s">
        <v>147</v>
      </c>
      <c r="D76" s="195" t="s">
        <v>242</v>
      </c>
      <c r="E76" s="195" t="s">
        <v>149</v>
      </c>
      <c r="F76" s="195" t="s">
        <v>147</v>
      </c>
      <c r="G76" s="195" t="s">
        <v>147</v>
      </c>
      <c r="H76" s="84"/>
      <c r="I76" s="240" t="s">
        <v>261</v>
      </c>
      <c r="J76" s="84"/>
      <c r="K76" s="84">
        <f>SUM(K77)</f>
        <v>0</v>
      </c>
      <c r="L76" s="84">
        <f>SUM(L77)</f>
        <v>0</v>
      </c>
      <c r="M76" s="84">
        <f t="shared" si="2"/>
        <v>0</v>
      </c>
      <c r="N76" s="84">
        <f t="shared" si="3"/>
        <v>0</v>
      </c>
      <c r="O76" s="84"/>
    </row>
    <row r="77" spans="1:15" s="51" customFormat="1" x14ac:dyDescent="0.2">
      <c r="A77" s="162" t="s">
        <v>37</v>
      </c>
      <c r="B77" s="128"/>
      <c r="C77" s="128" t="s">
        <v>250</v>
      </c>
      <c r="D77" s="128" t="s">
        <v>242</v>
      </c>
      <c r="E77" s="128" t="s">
        <v>244</v>
      </c>
      <c r="F77" s="128" t="s">
        <v>299</v>
      </c>
      <c r="G77" s="128" t="s">
        <v>168</v>
      </c>
      <c r="H77" s="73"/>
      <c r="I77" s="233" t="s">
        <v>261</v>
      </c>
      <c r="J77" s="73"/>
      <c r="K77" s="73"/>
      <c r="L77" s="73"/>
      <c r="M77" s="73">
        <f t="shared" si="2"/>
        <v>0</v>
      </c>
      <c r="N77" s="73">
        <f t="shared" si="3"/>
        <v>0</v>
      </c>
      <c r="O77" s="73"/>
    </row>
    <row r="78" spans="1:15" s="51" customFormat="1" x14ac:dyDescent="0.2">
      <c r="A78" s="162" t="s">
        <v>255</v>
      </c>
      <c r="B78" s="128"/>
      <c r="C78" s="128" t="s">
        <v>250</v>
      </c>
      <c r="D78" s="128" t="s">
        <v>242</v>
      </c>
      <c r="E78" s="128" t="s">
        <v>322</v>
      </c>
      <c r="F78" s="128" t="s">
        <v>299</v>
      </c>
      <c r="G78" s="128" t="s">
        <v>168</v>
      </c>
      <c r="H78" s="73"/>
      <c r="I78" s="233" t="s">
        <v>261</v>
      </c>
      <c r="J78" s="73"/>
      <c r="K78" s="73"/>
      <c r="L78" s="73"/>
      <c r="M78" s="73">
        <f>SUM(J78:L78)</f>
        <v>0</v>
      </c>
      <c r="N78" s="73">
        <f>SUM(H78-M78)</f>
        <v>0</v>
      </c>
      <c r="O78" s="73"/>
    </row>
    <row r="79" spans="1:15" s="68" customFormat="1" ht="15.75" x14ac:dyDescent="0.2">
      <c r="A79" s="91" t="s">
        <v>34</v>
      </c>
      <c r="B79" s="197"/>
      <c r="C79" s="197" t="s">
        <v>147</v>
      </c>
      <c r="D79" s="197" t="s">
        <v>182</v>
      </c>
      <c r="E79" s="197" t="s">
        <v>149</v>
      </c>
      <c r="F79" s="197" t="s">
        <v>147</v>
      </c>
      <c r="G79" s="197" t="s">
        <v>147</v>
      </c>
      <c r="H79" s="95">
        <f>SUM(H80+H85+H95+H116)</f>
        <v>2361700</v>
      </c>
      <c r="I79" s="242" t="s">
        <v>261</v>
      </c>
      <c r="J79" s="95">
        <f>SUM(J80+J85+J95+J116)</f>
        <v>1368005.88</v>
      </c>
      <c r="K79" s="95">
        <f>SUM(K80+K85+K95)</f>
        <v>0</v>
      </c>
      <c r="L79" s="95">
        <f>SUM(L80+L85+L95)</f>
        <v>0</v>
      </c>
      <c r="M79" s="95">
        <f t="shared" si="2"/>
        <v>1368005.88</v>
      </c>
      <c r="N79" s="95">
        <f t="shared" si="3"/>
        <v>993694.12000000011</v>
      </c>
      <c r="O79" s="95"/>
    </row>
    <row r="80" spans="1:15" s="68" customFormat="1" ht="15.75" x14ac:dyDescent="0.2">
      <c r="A80" s="127" t="s">
        <v>35</v>
      </c>
      <c r="B80" s="195"/>
      <c r="C80" s="195" t="s">
        <v>147</v>
      </c>
      <c r="D80" s="195" t="s">
        <v>183</v>
      </c>
      <c r="E80" s="195" t="s">
        <v>149</v>
      </c>
      <c r="F80" s="195" t="s">
        <v>147</v>
      </c>
      <c r="G80" s="195" t="s">
        <v>147</v>
      </c>
      <c r="H80" s="84">
        <f>SUM(H81:H84)</f>
        <v>0</v>
      </c>
      <c r="I80" s="240" t="s">
        <v>261</v>
      </c>
      <c r="J80" s="84">
        <v>0</v>
      </c>
      <c r="K80" s="84">
        <f>SUM(K81:K84)</f>
        <v>0</v>
      </c>
      <c r="L80" s="84">
        <f>SUM(L81:L84)</f>
        <v>0</v>
      </c>
      <c r="M80" s="84">
        <f>SUM(M81:M84)</f>
        <v>0</v>
      </c>
      <c r="N80" s="84">
        <f>SUM(N81:N84)</f>
        <v>0</v>
      </c>
      <c r="O80" s="84"/>
    </row>
    <row r="81" spans="1:15" s="51" customFormat="1" ht="28.5" x14ac:dyDescent="0.2">
      <c r="A81" s="167" t="s">
        <v>33</v>
      </c>
      <c r="B81" s="128"/>
      <c r="C81" s="128" t="s">
        <v>250</v>
      </c>
      <c r="D81" s="128" t="s">
        <v>183</v>
      </c>
      <c r="E81" s="128" t="s">
        <v>184</v>
      </c>
      <c r="F81" s="128" t="s">
        <v>180</v>
      </c>
      <c r="G81" s="128" t="s">
        <v>185</v>
      </c>
      <c r="H81" s="73"/>
      <c r="I81" s="233" t="s">
        <v>261</v>
      </c>
      <c r="J81" s="73"/>
      <c r="K81" s="73"/>
      <c r="L81" s="73"/>
      <c r="M81" s="73">
        <f t="shared" ref="M81:M88" si="6">SUM(J81:L81)</f>
        <v>0</v>
      </c>
      <c r="N81" s="73">
        <f t="shared" ref="N81:N89" si="7">SUM(H81-M81)</f>
        <v>0</v>
      </c>
      <c r="O81" s="73"/>
    </row>
    <row r="82" spans="1:15" s="51" customFormat="1" ht="28.5" x14ac:dyDescent="0.2">
      <c r="A82" s="167" t="s">
        <v>232</v>
      </c>
      <c r="B82" s="128"/>
      <c r="C82" s="128" t="s">
        <v>250</v>
      </c>
      <c r="D82" s="128" t="s">
        <v>183</v>
      </c>
      <c r="E82" s="128" t="s">
        <v>186</v>
      </c>
      <c r="F82" s="128" t="s">
        <v>180</v>
      </c>
      <c r="G82" s="128" t="s">
        <v>185</v>
      </c>
      <c r="H82" s="73"/>
      <c r="I82" s="233" t="s">
        <v>261</v>
      </c>
      <c r="J82" s="73"/>
      <c r="K82" s="73"/>
      <c r="L82" s="73"/>
      <c r="M82" s="73">
        <f t="shared" si="6"/>
        <v>0</v>
      </c>
      <c r="N82" s="73">
        <f t="shared" si="7"/>
        <v>0</v>
      </c>
      <c r="O82" s="73"/>
    </row>
    <row r="83" spans="1:15" s="51" customFormat="1" x14ac:dyDescent="0.2">
      <c r="A83" s="162" t="s">
        <v>26</v>
      </c>
      <c r="B83" s="128"/>
      <c r="C83" s="128" t="s">
        <v>250</v>
      </c>
      <c r="D83" s="128" t="s">
        <v>183</v>
      </c>
      <c r="E83" s="128" t="s">
        <v>233</v>
      </c>
      <c r="F83" s="128" t="s">
        <v>81</v>
      </c>
      <c r="G83" s="128" t="s">
        <v>167</v>
      </c>
      <c r="H83" s="73"/>
      <c r="I83" s="233" t="s">
        <v>261</v>
      </c>
      <c r="J83" s="73"/>
      <c r="K83" s="73"/>
      <c r="L83" s="73"/>
      <c r="M83" s="73">
        <f t="shared" si="6"/>
        <v>0</v>
      </c>
      <c r="N83" s="73">
        <f t="shared" si="7"/>
        <v>0</v>
      </c>
      <c r="O83" s="73"/>
    </row>
    <row r="84" spans="1:15" s="51" customFormat="1" x14ac:dyDescent="0.2">
      <c r="A84" s="162" t="s">
        <v>37</v>
      </c>
      <c r="B84" s="128"/>
      <c r="C84" s="128" t="s">
        <v>250</v>
      </c>
      <c r="D84" s="128" t="s">
        <v>183</v>
      </c>
      <c r="E84" s="128" t="s">
        <v>233</v>
      </c>
      <c r="F84" s="128" t="s">
        <v>81</v>
      </c>
      <c r="G84" s="128" t="s">
        <v>168</v>
      </c>
      <c r="H84" s="73"/>
      <c r="I84" s="233" t="s">
        <v>261</v>
      </c>
      <c r="J84" s="73"/>
      <c r="K84" s="73"/>
      <c r="L84" s="73"/>
      <c r="M84" s="73">
        <f t="shared" si="6"/>
        <v>0</v>
      </c>
      <c r="N84" s="73">
        <f t="shared" si="7"/>
        <v>0</v>
      </c>
      <c r="O84" s="73"/>
    </row>
    <row r="85" spans="1:15" s="68" customFormat="1" ht="15.75" x14ac:dyDescent="0.2">
      <c r="A85" s="127" t="s">
        <v>36</v>
      </c>
      <c r="B85" s="195"/>
      <c r="C85" s="195" t="s">
        <v>147</v>
      </c>
      <c r="D85" s="195" t="s">
        <v>187</v>
      </c>
      <c r="E85" s="195" t="s">
        <v>149</v>
      </c>
      <c r="F85" s="195" t="s">
        <v>147</v>
      </c>
      <c r="G85" s="195" t="s">
        <v>147</v>
      </c>
      <c r="H85" s="84">
        <f>SUM(H86:H94)</f>
        <v>945000</v>
      </c>
      <c r="I85" s="240" t="s">
        <v>261</v>
      </c>
      <c r="J85" s="84">
        <f>SUM(J86:J94)</f>
        <v>233855.5</v>
      </c>
      <c r="K85" s="84">
        <f>SUM(K86:K93)</f>
        <v>0</v>
      </c>
      <c r="L85" s="84">
        <f>SUM(L86:L93)</f>
        <v>0</v>
      </c>
      <c r="M85" s="84">
        <f t="shared" si="6"/>
        <v>233855.5</v>
      </c>
      <c r="N85" s="84">
        <f t="shared" si="7"/>
        <v>711144.5</v>
      </c>
      <c r="O85" s="84"/>
    </row>
    <row r="86" spans="1:15" s="51" customFormat="1" x14ac:dyDescent="0.2">
      <c r="A86" s="162" t="s">
        <v>37</v>
      </c>
      <c r="B86" s="128"/>
      <c r="C86" s="128" t="s">
        <v>250</v>
      </c>
      <c r="D86" s="128" t="s">
        <v>187</v>
      </c>
      <c r="E86" s="128" t="s">
        <v>349</v>
      </c>
      <c r="F86" s="128" t="s">
        <v>350</v>
      </c>
      <c r="G86" s="128" t="s">
        <v>168</v>
      </c>
      <c r="H86" s="73">
        <v>15130</v>
      </c>
      <c r="I86" s="233" t="s">
        <v>261</v>
      </c>
      <c r="J86" s="73"/>
      <c r="K86" s="73"/>
      <c r="L86" s="73"/>
      <c r="M86" s="73">
        <f t="shared" si="6"/>
        <v>0</v>
      </c>
      <c r="N86" s="73">
        <f t="shared" si="7"/>
        <v>15130</v>
      </c>
      <c r="O86" s="73"/>
    </row>
    <row r="87" spans="1:15" s="51" customFormat="1" x14ac:dyDescent="0.2">
      <c r="A87" s="167" t="s">
        <v>38</v>
      </c>
      <c r="B87" s="128"/>
      <c r="C87" s="128" t="s">
        <v>250</v>
      </c>
      <c r="D87" s="128" t="s">
        <v>187</v>
      </c>
      <c r="E87" s="128" t="s">
        <v>349</v>
      </c>
      <c r="F87" s="128" t="s">
        <v>350</v>
      </c>
      <c r="G87" s="128" t="s">
        <v>170</v>
      </c>
      <c r="H87" s="51">
        <v>691870</v>
      </c>
      <c r="I87" s="233" t="s">
        <v>261</v>
      </c>
      <c r="J87" s="246"/>
      <c r="K87" s="73"/>
      <c r="L87" s="73"/>
      <c r="M87" s="73">
        <f t="shared" si="6"/>
        <v>0</v>
      </c>
      <c r="N87" s="73">
        <f t="shared" si="7"/>
        <v>691870</v>
      </c>
      <c r="O87" s="73"/>
    </row>
    <row r="88" spans="1:15" s="51" customFormat="1" ht="28.5" x14ac:dyDescent="0.2">
      <c r="A88" s="167" t="s">
        <v>33</v>
      </c>
      <c r="B88" s="128"/>
      <c r="C88" s="128" t="s">
        <v>250</v>
      </c>
      <c r="D88" s="128" t="s">
        <v>187</v>
      </c>
      <c r="E88" s="128" t="s">
        <v>188</v>
      </c>
      <c r="F88" s="128" t="s">
        <v>180</v>
      </c>
      <c r="G88" s="128" t="s">
        <v>185</v>
      </c>
      <c r="H88" s="73"/>
      <c r="I88" s="233" t="s">
        <v>261</v>
      </c>
      <c r="J88" s="246"/>
      <c r="K88" s="73"/>
      <c r="L88" s="73"/>
      <c r="M88" s="73">
        <f t="shared" si="6"/>
        <v>0</v>
      </c>
      <c r="N88" s="73">
        <f t="shared" si="7"/>
        <v>0</v>
      </c>
      <c r="O88" s="73"/>
    </row>
    <row r="89" spans="1:15" s="51" customFormat="1" x14ac:dyDescent="0.2">
      <c r="A89" s="162" t="s">
        <v>26</v>
      </c>
      <c r="B89" s="128"/>
      <c r="C89" s="128" t="s">
        <v>250</v>
      </c>
      <c r="D89" s="128" t="s">
        <v>187</v>
      </c>
      <c r="E89" s="128" t="s">
        <v>188</v>
      </c>
      <c r="F89" s="128" t="s">
        <v>298</v>
      </c>
      <c r="G89" s="128" t="s">
        <v>167</v>
      </c>
      <c r="H89" s="73"/>
      <c r="I89" s="233" t="s">
        <v>261</v>
      </c>
      <c r="J89" s="246"/>
      <c r="K89" s="73"/>
      <c r="L89" s="73"/>
      <c r="M89" s="73"/>
      <c r="N89" s="73">
        <f t="shared" si="7"/>
        <v>0</v>
      </c>
      <c r="O89" s="73"/>
    </row>
    <row r="90" spans="1:15" s="51" customFormat="1" x14ac:dyDescent="0.2">
      <c r="A90" s="162" t="s">
        <v>26</v>
      </c>
      <c r="B90" s="128"/>
      <c r="C90" s="128" t="s">
        <v>250</v>
      </c>
      <c r="D90" s="128" t="s">
        <v>187</v>
      </c>
      <c r="E90" s="128" t="s">
        <v>188</v>
      </c>
      <c r="F90" s="128" t="s">
        <v>299</v>
      </c>
      <c r="G90" s="128" t="s">
        <v>167</v>
      </c>
      <c r="H90" s="73"/>
      <c r="I90" s="233" t="s">
        <v>261</v>
      </c>
      <c r="J90" s="246"/>
      <c r="K90" s="73"/>
      <c r="L90" s="73"/>
      <c r="M90" s="73">
        <f>SUM(J90:L90)</f>
        <v>0</v>
      </c>
      <c r="N90" s="73">
        <f>SUM(H90-M90)</f>
        <v>0</v>
      </c>
      <c r="O90" s="73"/>
    </row>
    <row r="91" spans="1:15" s="51" customFormat="1" x14ac:dyDescent="0.2">
      <c r="A91" s="162" t="s">
        <v>26</v>
      </c>
      <c r="B91" s="128"/>
      <c r="C91" s="128" t="s">
        <v>250</v>
      </c>
      <c r="D91" s="128" t="s">
        <v>187</v>
      </c>
      <c r="E91" s="128" t="s">
        <v>188</v>
      </c>
      <c r="F91" s="128" t="s">
        <v>298</v>
      </c>
      <c r="G91" s="128" t="s">
        <v>167</v>
      </c>
      <c r="H91" s="73">
        <f>50000+2000+10000+25000+35000</f>
        <v>122000</v>
      </c>
      <c r="I91" s="233" t="s">
        <v>261</v>
      </c>
      <c r="J91" s="246">
        <f>13932.5+28057+9114+3024+6090+26691+22654.8+8467.2</f>
        <v>118030.5</v>
      </c>
      <c r="K91" s="73"/>
      <c r="L91" s="73"/>
      <c r="M91" s="73">
        <f>SUM(J91:L91)</f>
        <v>118030.5</v>
      </c>
      <c r="N91" s="73">
        <f>SUM(H91-M91)</f>
        <v>3969.5</v>
      </c>
      <c r="O91" s="73"/>
    </row>
    <row r="92" spans="1:15" s="51" customFormat="1" x14ac:dyDescent="0.2">
      <c r="A92" s="162" t="s">
        <v>37</v>
      </c>
      <c r="B92" s="128"/>
      <c r="C92" s="128" t="s">
        <v>250</v>
      </c>
      <c r="D92" s="128" t="s">
        <v>187</v>
      </c>
      <c r="E92" s="128" t="s">
        <v>188</v>
      </c>
      <c r="F92" s="128" t="s">
        <v>298</v>
      </c>
      <c r="G92" s="128" t="s">
        <v>168</v>
      </c>
      <c r="H92" s="73">
        <v>60000</v>
      </c>
      <c r="I92" s="233" t="s">
        <v>261</v>
      </c>
      <c r="J92" s="246">
        <v>60000</v>
      </c>
      <c r="K92" s="73"/>
      <c r="L92" s="73"/>
      <c r="M92" s="73">
        <f t="shared" ref="M92:M108" si="8">SUM(J92:L92)</f>
        <v>60000</v>
      </c>
      <c r="N92" s="73">
        <f t="shared" ref="N92:N108" si="9">SUM(H92-M92)</f>
        <v>0</v>
      </c>
      <c r="O92" s="73"/>
    </row>
    <row r="93" spans="1:15" s="51" customFormat="1" x14ac:dyDescent="0.2">
      <c r="A93" s="167" t="s">
        <v>38</v>
      </c>
      <c r="B93" s="128"/>
      <c r="C93" s="128" t="s">
        <v>250</v>
      </c>
      <c r="D93" s="128" t="s">
        <v>187</v>
      </c>
      <c r="E93" s="128" t="s">
        <v>188</v>
      </c>
      <c r="F93" s="128" t="s">
        <v>298</v>
      </c>
      <c r="G93" s="128" t="s">
        <v>170</v>
      </c>
      <c r="H93" s="73"/>
      <c r="I93" s="233" t="s">
        <v>261</v>
      </c>
      <c r="J93" s="246"/>
      <c r="K93" s="73"/>
      <c r="L93" s="73"/>
      <c r="M93" s="73">
        <f t="shared" si="8"/>
        <v>0</v>
      </c>
      <c r="N93" s="73">
        <f t="shared" si="9"/>
        <v>0</v>
      </c>
      <c r="O93" s="73"/>
    </row>
    <row r="94" spans="1:15" s="51" customFormat="1" x14ac:dyDescent="0.2">
      <c r="A94" s="167" t="s">
        <v>30</v>
      </c>
      <c r="B94" s="128"/>
      <c r="C94" s="128" t="s">
        <v>250</v>
      </c>
      <c r="D94" s="128" t="s">
        <v>187</v>
      </c>
      <c r="E94" s="128" t="s">
        <v>188</v>
      </c>
      <c r="F94" s="128" t="s">
        <v>298</v>
      </c>
      <c r="G94" s="128" t="s">
        <v>171</v>
      </c>
      <c r="H94" s="73">
        <f>50000-10000+6000+10000</f>
        <v>56000</v>
      </c>
      <c r="I94" s="233" t="s">
        <v>261</v>
      </c>
      <c r="J94" s="246">
        <f>933+2844+1866+30102+10000+4292+5788</f>
        <v>55825</v>
      </c>
      <c r="K94" s="73"/>
      <c r="L94" s="73"/>
      <c r="M94" s="73">
        <f>SUM(J94:L94)</f>
        <v>55825</v>
      </c>
      <c r="N94" s="73">
        <f>SUM(H94-M94)</f>
        <v>175</v>
      </c>
      <c r="O94" s="73"/>
    </row>
    <row r="95" spans="1:15" s="68" customFormat="1" ht="15.75" x14ac:dyDescent="0.2">
      <c r="A95" s="129" t="s">
        <v>39</v>
      </c>
      <c r="B95" s="195"/>
      <c r="C95" s="195" t="s">
        <v>147</v>
      </c>
      <c r="D95" s="195" t="s">
        <v>189</v>
      </c>
      <c r="E95" s="195" t="s">
        <v>149</v>
      </c>
      <c r="F95" s="195" t="s">
        <v>147</v>
      </c>
      <c r="G95" s="195" t="s">
        <v>147</v>
      </c>
      <c r="H95" s="44">
        <f>SUM(H96+H102+H106+H111)</f>
        <v>1413700</v>
      </c>
      <c r="I95" s="232" t="s">
        <v>261</v>
      </c>
      <c r="J95" s="44">
        <f>SUM(J96+J102+J106+J111)</f>
        <v>1131150.3799999999</v>
      </c>
      <c r="K95" s="44">
        <f>SUM(K96+K102+K106+K111)</f>
        <v>0</v>
      </c>
      <c r="L95" s="44">
        <f>SUM(L96+L102+L106+L111)</f>
        <v>0</v>
      </c>
      <c r="M95" s="84">
        <f t="shared" si="8"/>
        <v>1131150.3799999999</v>
      </c>
      <c r="N95" s="84">
        <f t="shared" si="9"/>
        <v>282549.62000000011</v>
      </c>
      <c r="O95" s="84"/>
    </row>
    <row r="96" spans="1:15" s="68" customFormat="1" ht="15.75" x14ac:dyDescent="0.2">
      <c r="A96" s="127" t="s">
        <v>40</v>
      </c>
      <c r="B96" s="196"/>
      <c r="C96" s="125" t="s">
        <v>147</v>
      </c>
      <c r="D96" s="125" t="s">
        <v>189</v>
      </c>
      <c r="E96" s="125" t="s">
        <v>190</v>
      </c>
      <c r="F96" s="125" t="s">
        <v>147</v>
      </c>
      <c r="G96" s="125" t="s">
        <v>147</v>
      </c>
      <c r="H96" s="44">
        <f>SUM(H97:H101)</f>
        <v>361500</v>
      </c>
      <c r="I96" s="232" t="s">
        <v>261</v>
      </c>
      <c r="J96" s="44">
        <f>SUM(J97:J101)</f>
        <v>148772.74</v>
      </c>
      <c r="K96" s="44">
        <f>SUM(K97:K101)</f>
        <v>0</v>
      </c>
      <c r="L96" s="44">
        <f>SUM(L97:L101)</f>
        <v>0</v>
      </c>
      <c r="M96" s="84">
        <f t="shared" si="8"/>
        <v>148772.74</v>
      </c>
      <c r="N96" s="84">
        <f t="shared" si="9"/>
        <v>212727.26</v>
      </c>
      <c r="O96" s="84"/>
    </row>
    <row r="97" spans="1:15" s="51" customFormat="1" x14ac:dyDescent="0.2">
      <c r="A97" s="162" t="s">
        <v>37</v>
      </c>
      <c r="B97" s="128"/>
      <c r="C97" s="128" t="s">
        <v>250</v>
      </c>
      <c r="D97" s="128" t="s">
        <v>189</v>
      </c>
      <c r="E97" s="128" t="s">
        <v>191</v>
      </c>
      <c r="F97" s="128" t="s">
        <v>299</v>
      </c>
      <c r="G97" s="128" t="s">
        <v>166</v>
      </c>
      <c r="H97" s="73">
        <v>250000</v>
      </c>
      <c r="I97" s="233" t="s">
        <v>261</v>
      </c>
      <c r="J97" s="246">
        <f>32448.69+9219.48+8114.1+7318.73+6535.07+8965.8+8626.67</f>
        <v>81228.539999999994</v>
      </c>
      <c r="K97" s="73"/>
      <c r="L97" s="73"/>
      <c r="M97" s="73">
        <f t="shared" si="8"/>
        <v>81228.539999999994</v>
      </c>
      <c r="N97" s="73">
        <f t="shared" si="9"/>
        <v>168771.46000000002</v>
      </c>
      <c r="O97" s="73"/>
    </row>
    <row r="98" spans="1:15" s="51" customFormat="1" x14ac:dyDescent="0.2">
      <c r="A98" s="162" t="s">
        <v>44</v>
      </c>
      <c r="B98" s="128"/>
      <c r="C98" s="128" t="s">
        <v>250</v>
      </c>
      <c r="D98" s="128" t="s">
        <v>189</v>
      </c>
      <c r="E98" s="128" t="s">
        <v>191</v>
      </c>
      <c r="F98" s="128" t="s">
        <v>299</v>
      </c>
      <c r="G98" s="128" t="s">
        <v>167</v>
      </c>
      <c r="H98" s="73">
        <v>100000</v>
      </c>
      <c r="I98" s="233" t="s">
        <v>261</v>
      </c>
      <c r="J98" s="246">
        <f>27107.64+2248.92+4528+2248.9+4528+6776.92+6776.9+2248.92</f>
        <v>56464.2</v>
      </c>
      <c r="K98" s="73"/>
      <c r="L98" s="73"/>
      <c r="M98" s="73">
        <f>SUM(J98:L98)</f>
        <v>56464.2</v>
      </c>
      <c r="N98" s="73">
        <f>SUM(H98-M98)</f>
        <v>43535.8</v>
      </c>
      <c r="O98" s="73"/>
    </row>
    <row r="99" spans="1:15" s="51" customFormat="1" x14ac:dyDescent="0.2">
      <c r="A99" s="112" t="s">
        <v>37</v>
      </c>
      <c r="B99" s="128"/>
      <c r="C99" s="128" t="s">
        <v>250</v>
      </c>
      <c r="D99" s="128" t="s">
        <v>189</v>
      </c>
      <c r="E99" s="128" t="s">
        <v>191</v>
      </c>
      <c r="F99" s="128" t="s">
        <v>299</v>
      </c>
      <c r="G99" s="128" t="s">
        <v>168</v>
      </c>
      <c r="H99" s="73">
        <f>5500</f>
        <v>5500</v>
      </c>
      <c r="I99" s="233" t="s">
        <v>261</v>
      </c>
      <c r="J99" s="246">
        <f>5500</f>
        <v>5500</v>
      </c>
      <c r="K99" s="73"/>
      <c r="L99" s="73"/>
      <c r="M99" s="73">
        <f>SUM(J99:L99)</f>
        <v>5500</v>
      </c>
      <c r="N99" s="73">
        <f>SUM(H99-M99)</f>
        <v>0</v>
      </c>
      <c r="O99" s="73"/>
    </row>
    <row r="100" spans="1:15" s="51" customFormat="1" x14ac:dyDescent="0.2">
      <c r="A100" s="162" t="s">
        <v>29</v>
      </c>
      <c r="B100" s="128"/>
      <c r="C100" s="128" t="s">
        <v>250</v>
      </c>
      <c r="D100" s="128" t="s">
        <v>189</v>
      </c>
      <c r="E100" s="128" t="s">
        <v>191</v>
      </c>
      <c r="F100" s="128" t="s">
        <v>81</v>
      </c>
      <c r="G100" s="128" t="s">
        <v>170</v>
      </c>
      <c r="H100" s="73"/>
      <c r="I100" s="233" t="s">
        <v>261</v>
      </c>
      <c r="J100" s="73"/>
      <c r="K100" s="73"/>
      <c r="L100" s="73"/>
      <c r="M100" s="73">
        <f t="shared" si="8"/>
        <v>0</v>
      </c>
      <c r="N100" s="73">
        <f t="shared" si="9"/>
        <v>0</v>
      </c>
      <c r="O100" s="73"/>
    </row>
    <row r="101" spans="1:15" s="51" customFormat="1" x14ac:dyDescent="0.2">
      <c r="A101" s="162" t="s">
        <v>30</v>
      </c>
      <c r="B101" s="128"/>
      <c r="C101" s="128" t="s">
        <v>250</v>
      </c>
      <c r="D101" s="128" t="s">
        <v>189</v>
      </c>
      <c r="E101" s="128" t="s">
        <v>191</v>
      </c>
      <c r="F101" s="128" t="s">
        <v>299</v>
      </c>
      <c r="G101" s="128" t="s">
        <v>171</v>
      </c>
      <c r="H101" s="73">
        <f>100000-94000</f>
        <v>6000</v>
      </c>
      <c r="I101" s="233" t="s">
        <v>261</v>
      </c>
      <c r="J101" s="73">
        <f>1792+3788</f>
        <v>5580</v>
      </c>
      <c r="K101" s="73"/>
      <c r="L101" s="73"/>
      <c r="M101" s="73">
        <f t="shared" si="8"/>
        <v>5580</v>
      </c>
      <c r="N101" s="73">
        <f t="shared" si="9"/>
        <v>420</v>
      </c>
      <c r="O101" s="73"/>
    </row>
    <row r="102" spans="1:15" s="68" customFormat="1" ht="15.75" x14ac:dyDescent="0.2">
      <c r="A102" s="111" t="s">
        <v>41</v>
      </c>
      <c r="B102" s="196"/>
      <c r="C102" s="125" t="s">
        <v>147</v>
      </c>
      <c r="D102" s="125" t="s">
        <v>189</v>
      </c>
      <c r="E102" s="125" t="s">
        <v>192</v>
      </c>
      <c r="F102" s="125" t="s">
        <v>147</v>
      </c>
      <c r="G102" s="125" t="s">
        <v>147</v>
      </c>
      <c r="H102" s="44">
        <f>SUM(H103:H105)</f>
        <v>0</v>
      </c>
      <c r="I102" s="232" t="s">
        <v>261</v>
      </c>
      <c r="J102" s="44">
        <f>SUM(J103:J105)</f>
        <v>0</v>
      </c>
      <c r="K102" s="44">
        <f>SUM(K103:K105)</f>
        <v>0</v>
      </c>
      <c r="L102" s="44">
        <f>SUM(L103:L105)</f>
        <v>0</v>
      </c>
      <c r="M102" s="84">
        <f t="shared" si="8"/>
        <v>0</v>
      </c>
      <c r="N102" s="84">
        <f t="shared" si="9"/>
        <v>0</v>
      </c>
      <c r="O102" s="84"/>
    </row>
    <row r="103" spans="1:15" s="51" customFormat="1" x14ac:dyDescent="0.2">
      <c r="A103" s="162" t="s">
        <v>44</v>
      </c>
      <c r="B103" s="128"/>
      <c r="C103" s="128" t="s">
        <v>250</v>
      </c>
      <c r="D103" s="128" t="s">
        <v>189</v>
      </c>
      <c r="E103" s="128" t="s">
        <v>193</v>
      </c>
      <c r="F103" s="128" t="s">
        <v>81</v>
      </c>
      <c r="G103" s="128" t="s">
        <v>167</v>
      </c>
      <c r="H103" s="73"/>
      <c r="I103" s="233" t="s">
        <v>261</v>
      </c>
      <c r="J103" s="246"/>
      <c r="K103" s="73"/>
      <c r="L103" s="73"/>
      <c r="M103" s="73">
        <f t="shared" si="8"/>
        <v>0</v>
      </c>
      <c r="N103" s="73">
        <f t="shared" si="9"/>
        <v>0</v>
      </c>
      <c r="O103" s="73"/>
    </row>
    <row r="104" spans="1:15" s="51" customFormat="1" x14ac:dyDescent="0.2">
      <c r="A104" s="162" t="s">
        <v>30</v>
      </c>
      <c r="B104" s="128"/>
      <c r="C104" s="128" t="s">
        <v>250</v>
      </c>
      <c r="D104" s="128" t="s">
        <v>189</v>
      </c>
      <c r="E104" s="128" t="s">
        <v>193</v>
      </c>
      <c r="F104" s="128" t="s">
        <v>81</v>
      </c>
      <c r="G104" s="128" t="s">
        <v>171</v>
      </c>
      <c r="H104" s="73"/>
      <c r="I104" s="233" t="s">
        <v>261</v>
      </c>
      <c r="J104" s="246"/>
      <c r="K104" s="73"/>
      <c r="L104" s="73" t="s">
        <v>315</v>
      </c>
      <c r="M104" s="73">
        <f t="shared" si="8"/>
        <v>0</v>
      </c>
      <c r="N104" s="73">
        <f t="shared" si="9"/>
        <v>0</v>
      </c>
      <c r="O104" s="73"/>
    </row>
    <row r="105" spans="1:15" s="51" customFormat="1" x14ac:dyDescent="0.2">
      <c r="A105" s="167" t="s">
        <v>38</v>
      </c>
      <c r="B105" s="128"/>
      <c r="C105" s="128" t="s">
        <v>250</v>
      </c>
      <c r="D105" s="128" t="s">
        <v>189</v>
      </c>
      <c r="E105" s="128" t="s">
        <v>193</v>
      </c>
      <c r="F105" s="128" t="s">
        <v>81</v>
      </c>
      <c r="G105" s="128" t="s">
        <v>170</v>
      </c>
      <c r="H105" s="73"/>
      <c r="I105" s="233" t="s">
        <v>261</v>
      </c>
      <c r="J105" s="73"/>
      <c r="K105" s="73"/>
      <c r="L105" s="73"/>
      <c r="M105" s="73">
        <f t="shared" si="8"/>
        <v>0</v>
      </c>
      <c r="N105" s="73">
        <f t="shared" si="9"/>
        <v>0</v>
      </c>
      <c r="O105" s="73"/>
    </row>
    <row r="106" spans="1:15" s="68" customFormat="1" ht="21.75" customHeight="1" x14ac:dyDescent="0.2">
      <c r="A106" s="111" t="s">
        <v>42</v>
      </c>
      <c r="B106" s="196"/>
      <c r="C106" s="125" t="s">
        <v>147</v>
      </c>
      <c r="D106" s="125" t="s">
        <v>189</v>
      </c>
      <c r="E106" s="125" t="s">
        <v>194</v>
      </c>
      <c r="F106" s="125" t="s">
        <v>147</v>
      </c>
      <c r="G106" s="125" t="s">
        <v>147</v>
      </c>
      <c r="H106" s="44">
        <f>SUM(H107+H108+H109+H110)</f>
        <v>138800</v>
      </c>
      <c r="I106" s="232" t="s">
        <v>261</v>
      </c>
      <c r="J106" s="44">
        <f>SUM(J107+J108+J109+J110)</f>
        <v>119675.5</v>
      </c>
      <c r="K106" s="44">
        <f>SUM(K107+K108+K109+K110)</f>
        <v>0</v>
      </c>
      <c r="L106" s="44">
        <f>SUM(L107+L108+L109+L110)</f>
        <v>0</v>
      </c>
      <c r="M106" s="84">
        <f t="shared" si="8"/>
        <v>119675.5</v>
      </c>
      <c r="N106" s="84">
        <f t="shared" si="9"/>
        <v>19124.5</v>
      </c>
      <c r="O106" s="84"/>
    </row>
    <row r="107" spans="1:15" s="51" customFormat="1" x14ac:dyDescent="0.2">
      <c r="A107" s="162" t="s">
        <v>44</v>
      </c>
      <c r="B107" s="128"/>
      <c r="C107" s="128" t="s">
        <v>250</v>
      </c>
      <c r="D107" s="128" t="s">
        <v>189</v>
      </c>
      <c r="E107" s="128" t="s">
        <v>195</v>
      </c>
      <c r="F107" s="128" t="s">
        <v>81</v>
      </c>
      <c r="G107" s="128" t="s">
        <v>167</v>
      </c>
      <c r="H107" s="73">
        <f>60000-60000</f>
        <v>0</v>
      </c>
      <c r="I107" s="233" t="s">
        <v>261</v>
      </c>
      <c r="J107" s="73"/>
      <c r="K107" s="73"/>
      <c r="L107" s="73"/>
      <c r="M107" s="73">
        <f t="shared" si="8"/>
        <v>0</v>
      </c>
      <c r="N107" s="73">
        <f t="shared" si="9"/>
        <v>0</v>
      </c>
      <c r="O107" s="73"/>
    </row>
    <row r="108" spans="1:15" s="51" customFormat="1" x14ac:dyDescent="0.2">
      <c r="A108" s="162" t="s">
        <v>37</v>
      </c>
      <c r="B108" s="128"/>
      <c r="C108" s="128" t="s">
        <v>250</v>
      </c>
      <c r="D108" s="128" t="s">
        <v>189</v>
      </c>
      <c r="E108" s="128" t="s">
        <v>195</v>
      </c>
      <c r="F108" s="128" t="s">
        <v>299</v>
      </c>
      <c r="G108" s="128" t="s">
        <v>168</v>
      </c>
      <c r="H108" s="73">
        <f>20000+100000+14000</f>
        <v>134000</v>
      </c>
      <c r="I108" s="233" t="s">
        <v>261</v>
      </c>
      <c r="J108" s="246">
        <f>5313.5+1522+1880+94013+2279.5-1+756.5+1522+756.5+1522+2278.5+2278.5+754.5</f>
        <v>114875.5</v>
      </c>
      <c r="K108" s="73"/>
      <c r="L108" s="73"/>
      <c r="M108" s="73">
        <f t="shared" si="8"/>
        <v>114875.5</v>
      </c>
      <c r="N108" s="73">
        <f t="shared" si="9"/>
        <v>19124.5</v>
      </c>
      <c r="O108" s="73"/>
    </row>
    <row r="109" spans="1:15" s="51" customFormat="1" x14ac:dyDescent="0.2">
      <c r="A109" s="162" t="s">
        <v>29</v>
      </c>
      <c r="B109" s="128"/>
      <c r="C109" s="128" t="s">
        <v>250</v>
      </c>
      <c r="D109" s="128" t="s">
        <v>189</v>
      </c>
      <c r="E109" s="128" t="s">
        <v>195</v>
      </c>
      <c r="F109" s="128" t="s">
        <v>81</v>
      </c>
      <c r="G109" s="128" t="s">
        <v>170</v>
      </c>
      <c r="H109" s="73"/>
      <c r="I109" s="233" t="s">
        <v>261</v>
      </c>
      <c r="J109" s="73"/>
      <c r="K109" s="73"/>
      <c r="L109" s="73"/>
      <c r="M109" s="73">
        <f t="shared" ref="M109:M115" si="10">SUM(J109:L109)</f>
        <v>0</v>
      </c>
      <c r="N109" s="73">
        <f t="shared" ref="N109:N115" si="11">SUM(H109-M109)</f>
        <v>0</v>
      </c>
      <c r="O109" s="73"/>
    </row>
    <row r="110" spans="1:15" s="51" customFormat="1" x14ac:dyDescent="0.2">
      <c r="A110" s="162" t="s">
        <v>30</v>
      </c>
      <c r="B110" s="128"/>
      <c r="C110" s="128" t="s">
        <v>250</v>
      </c>
      <c r="D110" s="128" t="s">
        <v>189</v>
      </c>
      <c r="E110" s="128" t="s">
        <v>195</v>
      </c>
      <c r="F110" s="128" t="s">
        <v>81</v>
      </c>
      <c r="G110" s="128" t="s">
        <v>171</v>
      </c>
      <c r="H110" s="73">
        <v>4800</v>
      </c>
      <c r="I110" s="233" t="s">
        <v>261</v>
      </c>
      <c r="J110" s="73">
        <f>4800</f>
        <v>4800</v>
      </c>
      <c r="K110" s="73"/>
      <c r="L110" s="73"/>
      <c r="M110" s="73">
        <f t="shared" si="10"/>
        <v>4800</v>
      </c>
      <c r="N110" s="73">
        <f t="shared" si="11"/>
        <v>0</v>
      </c>
      <c r="O110" s="73"/>
    </row>
    <row r="111" spans="1:15" s="68" customFormat="1" ht="15.75" x14ac:dyDescent="0.2">
      <c r="A111" s="111" t="s">
        <v>43</v>
      </c>
      <c r="B111" s="196"/>
      <c r="C111" s="125" t="s">
        <v>147</v>
      </c>
      <c r="D111" s="125" t="s">
        <v>189</v>
      </c>
      <c r="E111" s="125" t="s">
        <v>196</v>
      </c>
      <c r="F111" s="125" t="s">
        <v>147</v>
      </c>
      <c r="G111" s="125" t="s">
        <v>147</v>
      </c>
      <c r="H111" s="44">
        <f>SUM(H112:H115)</f>
        <v>913400</v>
      </c>
      <c r="I111" s="232" t="s">
        <v>261</v>
      </c>
      <c r="J111" s="44">
        <f>SUM(J112:J115)</f>
        <v>862702.14</v>
      </c>
      <c r="K111" s="44">
        <f>SUM(K112:K115)</f>
        <v>0</v>
      </c>
      <c r="L111" s="44">
        <f>SUM(L112:L115)</f>
        <v>0</v>
      </c>
      <c r="M111" s="84">
        <f t="shared" si="10"/>
        <v>862702.14</v>
      </c>
      <c r="N111" s="84">
        <f t="shared" si="11"/>
        <v>50697.859999999986</v>
      </c>
      <c r="O111" s="84"/>
    </row>
    <row r="112" spans="1:15" s="163" customFormat="1" x14ac:dyDescent="0.2">
      <c r="A112" s="112" t="s">
        <v>44</v>
      </c>
      <c r="B112" s="196"/>
      <c r="C112" s="128" t="s">
        <v>250</v>
      </c>
      <c r="D112" s="196" t="s">
        <v>189</v>
      </c>
      <c r="E112" s="196" t="s">
        <v>197</v>
      </c>
      <c r="F112" s="196" t="s">
        <v>299</v>
      </c>
      <c r="G112" s="196" t="s">
        <v>167</v>
      </c>
      <c r="H112" s="85">
        <f>335400+200000</f>
        <v>535400</v>
      </c>
      <c r="I112" s="236" t="s">
        <v>261</v>
      </c>
      <c r="J112" s="248">
        <f>105530.09+900+17540.95+4000+15121.1+4000+3045+12242.68+14054+3556.95+1270+4000+426.32+8573.47+4000+11569.63+483.2+85997.94+4000+10005+56588.28+90010+29808.13</f>
        <v>486722.74</v>
      </c>
      <c r="K112" s="85"/>
      <c r="L112" s="85"/>
      <c r="M112" s="85">
        <f t="shared" si="10"/>
        <v>486722.74</v>
      </c>
      <c r="N112" s="85">
        <f t="shared" si="11"/>
        <v>48677.260000000009</v>
      </c>
      <c r="O112" s="85"/>
    </row>
    <row r="113" spans="1:15" s="163" customFormat="1" x14ac:dyDescent="0.2">
      <c r="A113" s="112" t="s">
        <v>37</v>
      </c>
      <c r="B113" s="196"/>
      <c r="C113" s="128" t="s">
        <v>250</v>
      </c>
      <c r="D113" s="196" t="s">
        <v>189</v>
      </c>
      <c r="E113" s="196" t="s">
        <v>197</v>
      </c>
      <c r="F113" s="196" t="s">
        <v>81</v>
      </c>
      <c r="G113" s="196" t="s">
        <v>168</v>
      </c>
      <c r="H113" s="85">
        <v>7000</v>
      </c>
      <c r="I113" s="236" t="s">
        <v>261</v>
      </c>
      <c r="J113" s="248">
        <v>6640</v>
      </c>
      <c r="K113" s="85"/>
      <c r="L113" s="85"/>
      <c r="M113" s="85">
        <f t="shared" si="10"/>
        <v>6640</v>
      </c>
      <c r="N113" s="85">
        <f t="shared" si="11"/>
        <v>360</v>
      </c>
      <c r="O113" s="85"/>
    </row>
    <row r="114" spans="1:15" s="163" customFormat="1" x14ac:dyDescent="0.2">
      <c r="A114" s="112" t="s">
        <v>29</v>
      </c>
      <c r="B114" s="196"/>
      <c r="C114" s="128" t="s">
        <v>250</v>
      </c>
      <c r="D114" s="196" t="s">
        <v>189</v>
      </c>
      <c r="E114" s="196" t="s">
        <v>197</v>
      </c>
      <c r="F114" s="196" t="s">
        <v>81</v>
      </c>
      <c r="G114" s="196" t="s">
        <v>170</v>
      </c>
      <c r="H114" s="85">
        <f>80000+8000+46000</f>
        <v>134000</v>
      </c>
      <c r="I114" s="236" t="s">
        <v>261</v>
      </c>
      <c r="J114" s="248">
        <f>88000+46000</f>
        <v>134000</v>
      </c>
      <c r="K114" s="85"/>
      <c r="L114" s="85"/>
      <c r="M114" s="85">
        <f t="shared" si="10"/>
        <v>134000</v>
      </c>
      <c r="N114" s="85">
        <f t="shared" si="11"/>
        <v>0</v>
      </c>
      <c r="O114" s="85"/>
    </row>
    <row r="115" spans="1:15" s="163" customFormat="1" x14ac:dyDescent="0.2">
      <c r="A115" s="112" t="s">
        <v>30</v>
      </c>
      <c r="B115" s="196"/>
      <c r="C115" s="128" t="s">
        <v>250</v>
      </c>
      <c r="D115" s="196" t="s">
        <v>189</v>
      </c>
      <c r="E115" s="196" t="s">
        <v>197</v>
      </c>
      <c r="F115" s="196" t="s">
        <v>299</v>
      </c>
      <c r="G115" s="196" t="s">
        <v>171</v>
      </c>
      <c r="H115" s="85">
        <f>195000+50000-8000</f>
        <v>237000</v>
      </c>
      <c r="I115" s="236" t="s">
        <v>261</v>
      </c>
      <c r="J115" s="248">
        <f>29245+500+4200+15510+2000+14254.4+7500+120+19000+1000+4220+1000+2000+16000+3811+38900+1000+1655+47404+2300+23720</f>
        <v>235339.4</v>
      </c>
      <c r="K115" s="85"/>
      <c r="L115" s="85"/>
      <c r="M115" s="85">
        <f t="shared" si="10"/>
        <v>235339.4</v>
      </c>
      <c r="N115" s="85">
        <f t="shared" si="11"/>
        <v>1660.6000000000058</v>
      </c>
      <c r="O115" s="85"/>
    </row>
    <row r="116" spans="1:15" s="68" customFormat="1" ht="30" x14ac:dyDescent="0.2">
      <c r="A116" s="111" t="s">
        <v>281</v>
      </c>
      <c r="B116" s="196"/>
      <c r="C116" s="125" t="s">
        <v>147</v>
      </c>
      <c r="D116" s="125" t="s">
        <v>282</v>
      </c>
      <c r="E116" s="125" t="s">
        <v>149</v>
      </c>
      <c r="F116" s="125" t="s">
        <v>147</v>
      </c>
      <c r="G116" s="125" t="s">
        <v>147</v>
      </c>
      <c r="H116" s="44">
        <f>SUM(H117:H119)</f>
        <v>3000</v>
      </c>
      <c r="I116" s="232" t="s">
        <v>261</v>
      </c>
      <c r="J116" s="44">
        <f>SUM(J117:J119)</f>
        <v>3000</v>
      </c>
      <c r="K116" s="44">
        <f>SUM(K117:K123)</f>
        <v>0</v>
      </c>
      <c r="L116" s="44">
        <f>SUM(L117:L123)</f>
        <v>0</v>
      </c>
      <c r="M116" s="84">
        <f>SUM(J116:L116)</f>
        <v>3000</v>
      </c>
      <c r="N116" s="84">
        <f>SUM(H116-M116)</f>
        <v>0</v>
      </c>
      <c r="O116" s="84"/>
    </row>
    <row r="117" spans="1:15" s="163" customFormat="1" x14ac:dyDescent="0.2">
      <c r="A117" s="112" t="s">
        <v>273</v>
      </c>
      <c r="B117" s="196"/>
      <c r="C117" s="128" t="s">
        <v>250</v>
      </c>
      <c r="D117" s="196" t="s">
        <v>282</v>
      </c>
      <c r="E117" s="196" t="s">
        <v>162</v>
      </c>
      <c r="F117" s="196" t="s">
        <v>317</v>
      </c>
      <c r="G117" s="196" t="s">
        <v>274</v>
      </c>
      <c r="H117" s="85">
        <v>3000</v>
      </c>
      <c r="I117" s="236"/>
      <c r="J117" s="248">
        <v>3000</v>
      </c>
      <c r="K117" s="85"/>
      <c r="L117" s="85"/>
      <c r="M117" s="85"/>
      <c r="N117" s="85"/>
      <c r="O117" s="85"/>
    </row>
    <row r="118" spans="1:15" s="163" customFormat="1" x14ac:dyDescent="0.2">
      <c r="A118" s="112" t="s">
        <v>33</v>
      </c>
      <c r="B118" s="196"/>
      <c r="C118" s="128" t="s">
        <v>250</v>
      </c>
      <c r="D118" s="196" t="s">
        <v>282</v>
      </c>
      <c r="E118" s="196" t="s">
        <v>293</v>
      </c>
      <c r="F118" s="196" t="s">
        <v>81</v>
      </c>
      <c r="G118" s="196" t="s">
        <v>181</v>
      </c>
      <c r="H118" s="85"/>
      <c r="I118" s="236"/>
      <c r="J118" s="248"/>
      <c r="K118" s="85"/>
      <c r="L118" s="85"/>
      <c r="M118" s="85"/>
      <c r="N118" s="85"/>
      <c r="O118" s="85"/>
    </row>
    <row r="119" spans="1:15" s="163" customFormat="1" x14ac:dyDescent="0.2">
      <c r="A119" s="112" t="s">
        <v>33</v>
      </c>
      <c r="B119" s="196"/>
      <c r="C119" s="128" t="s">
        <v>250</v>
      </c>
      <c r="D119" s="196" t="s">
        <v>282</v>
      </c>
      <c r="E119" s="196" t="s">
        <v>289</v>
      </c>
      <c r="F119" s="196" t="s">
        <v>81</v>
      </c>
      <c r="G119" s="196" t="s">
        <v>181</v>
      </c>
      <c r="H119" s="85"/>
      <c r="I119" s="236"/>
      <c r="J119" s="248"/>
      <c r="K119" s="85"/>
      <c r="L119" s="85"/>
      <c r="M119" s="85"/>
      <c r="N119" s="85"/>
      <c r="O119" s="85"/>
    </row>
    <row r="120" spans="1:15" s="68" customFormat="1" ht="27" customHeight="1" x14ac:dyDescent="0.2">
      <c r="A120" s="121" t="s">
        <v>229</v>
      </c>
      <c r="B120" s="12"/>
      <c r="C120" s="12" t="s">
        <v>147</v>
      </c>
      <c r="D120" s="12" t="s">
        <v>228</v>
      </c>
      <c r="E120" s="12" t="s">
        <v>149</v>
      </c>
      <c r="F120" s="12" t="s">
        <v>147</v>
      </c>
      <c r="G120" s="12" t="s">
        <v>147</v>
      </c>
      <c r="H120" s="123">
        <f>SUM(H121)</f>
        <v>30000</v>
      </c>
      <c r="I120" s="239" t="s">
        <v>261</v>
      </c>
      <c r="J120" s="123">
        <f>SUM(J121)</f>
        <v>3350</v>
      </c>
      <c r="K120" s="123">
        <f>SUM(K121)</f>
        <v>0</v>
      </c>
      <c r="L120" s="123">
        <f>SUM(L121)</f>
        <v>0</v>
      </c>
      <c r="M120" s="123">
        <f>SUM(M121)</f>
        <v>3350</v>
      </c>
      <c r="N120" s="123">
        <f>SUM(N121)</f>
        <v>26650</v>
      </c>
      <c r="O120" s="123"/>
    </row>
    <row r="121" spans="1:15" s="68" customFormat="1" ht="36" customHeight="1" x14ac:dyDescent="0.2">
      <c r="A121" s="124" t="s">
        <v>268</v>
      </c>
      <c r="B121" s="195"/>
      <c r="C121" s="125" t="s">
        <v>147</v>
      </c>
      <c r="D121" s="125" t="s">
        <v>230</v>
      </c>
      <c r="E121" s="125" t="s">
        <v>149</v>
      </c>
      <c r="F121" s="125" t="s">
        <v>147</v>
      </c>
      <c r="G121" s="195" t="s">
        <v>147</v>
      </c>
      <c r="H121" s="44">
        <f>SUM(H122+H123)</f>
        <v>30000</v>
      </c>
      <c r="I121" s="232" t="s">
        <v>261</v>
      </c>
      <c r="J121" s="44">
        <f>SUM(J122+J123)</f>
        <v>3350</v>
      </c>
      <c r="K121" s="44">
        <f>SUM(K122+K123)</f>
        <v>0</v>
      </c>
      <c r="L121" s="44">
        <f>SUM(L122+L123)</f>
        <v>0</v>
      </c>
      <c r="M121" s="44">
        <f>SUM(M122+M123)</f>
        <v>3350</v>
      </c>
      <c r="N121" s="44">
        <f>SUM(N122+N123)</f>
        <v>26650</v>
      </c>
      <c r="O121" s="44"/>
    </row>
    <row r="122" spans="1:15" s="68" customFormat="1" ht="15.75" x14ac:dyDescent="0.2">
      <c r="A122" s="162" t="s">
        <v>37</v>
      </c>
      <c r="B122" s="195"/>
      <c r="C122" s="128" t="s">
        <v>250</v>
      </c>
      <c r="D122" s="128" t="s">
        <v>230</v>
      </c>
      <c r="E122" s="128" t="s">
        <v>231</v>
      </c>
      <c r="F122" s="128" t="s">
        <v>81</v>
      </c>
      <c r="G122" s="128" t="s">
        <v>168</v>
      </c>
      <c r="H122" s="44"/>
      <c r="I122" s="232" t="s">
        <v>261</v>
      </c>
      <c r="J122" s="44"/>
      <c r="K122" s="44"/>
      <c r="L122" s="44"/>
      <c r="M122" s="85">
        <f>SUM(J122:L122)</f>
        <v>0</v>
      </c>
      <c r="N122" s="85">
        <f>SUM(H122-M122)</f>
        <v>0</v>
      </c>
      <c r="O122" s="85"/>
    </row>
    <row r="123" spans="1:15" s="163" customFormat="1" x14ac:dyDescent="0.2">
      <c r="A123" s="162" t="s">
        <v>28</v>
      </c>
      <c r="B123" s="196"/>
      <c r="C123" s="128" t="s">
        <v>250</v>
      </c>
      <c r="D123" s="196" t="s">
        <v>230</v>
      </c>
      <c r="E123" s="196" t="s">
        <v>231</v>
      </c>
      <c r="F123" s="196" t="s">
        <v>299</v>
      </c>
      <c r="G123" s="196" t="s">
        <v>169</v>
      </c>
      <c r="H123" s="85">
        <v>30000</v>
      </c>
      <c r="I123" s="236" t="s">
        <v>261</v>
      </c>
      <c r="J123" s="85">
        <f>1850+1500</f>
        <v>3350</v>
      </c>
      <c r="K123" s="85"/>
      <c r="L123" s="85"/>
      <c r="M123" s="85">
        <f>SUM(J123:L123)</f>
        <v>3350</v>
      </c>
      <c r="N123" s="85">
        <f>SUM(H123-M123)</f>
        <v>26650</v>
      </c>
      <c r="O123" s="85"/>
    </row>
    <row r="124" spans="1:15" s="68" customFormat="1" ht="27" customHeight="1" x14ac:dyDescent="0.2">
      <c r="A124" s="121" t="s">
        <v>105</v>
      </c>
      <c r="B124" s="12"/>
      <c r="C124" s="12" t="s">
        <v>147</v>
      </c>
      <c r="D124" s="12" t="s">
        <v>198</v>
      </c>
      <c r="E124" s="12" t="s">
        <v>149</v>
      </c>
      <c r="F124" s="12" t="s">
        <v>147</v>
      </c>
      <c r="G124" s="12" t="s">
        <v>147</v>
      </c>
      <c r="H124" s="123">
        <f>SUM(H125+H137)</f>
        <v>2914900</v>
      </c>
      <c r="I124" s="239" t="s">
        <v>261</v>
      </c>
      <c r="J124" s="123">
        <f>SUM(J125+J137)</f>
        <v>2084165.46</v>
      </c>
      <c r="K124" s="123">
        <f>SUM(K125+K137)</f>
        <v>0</v>
      </c>
      <c r="L124" s="123">
        <f>SUM(L125+L137)</f>
        <v>0</v>
      </c>
      <c r="M124" s="123">
        <f>SUM(M125+M137)</f>
        <v>2084165.46</v>
      </c>
      <c r="N124" s="123">
        <f>SUM(N125+N137)</f>
        <v>830734.53999999992</v>
      </c>
      <c r="O124" s="123"/>
    </row>
    <row r="125" spans="1:15" s="68" customFormat="1" ht="15.75" x14ac:dyDescent="0.2">
      <c r="A125" s="129" t="s">
        <v>45</v>
      </c>
      <c r="B125" s="195"/>
      <c r="C125" s="125" t="s">
        <v>147</v>
      </c>
      <c r="D125" s="125" t="s">
        <v>199</v>
      </c>
      <c r="E125" s="125" t="s">
        <v>200</v>
      </c>
      <c r="F125" s="125" t="s">
        <v>147</v>
      </c>
      <c r="G125" s="195" t="s">
        <v>147</v>
      </c>
      <c r="H125" s="44">
        <f>SUM(H126:H136)</f>
        <v>1649200</v>
      </c>
      <c r="I125" s="232" t="s">
        <v>261</v>
      </c>
      <c r="J125" s="44">
        <f>SUM(J126:J136)</f>
        <v>1120506.29</v>
      </c>
      <c r="K125" s="44">
        <f>SUM(K126:K136)</f>
        <v>0</v>
      </c>
      <c r="L125" s="44">
        <f>SUM(L126:L136)</f>
        <v>0</v>
      </c>
      <c r="M125" s="44">
        <f>SUM(M126:M136)</f>
        <v>1120506.29</v>
      </c>
      <c r="N125" s="44">
        <f>SUM(N126:N136)</f>
        <v>528693.71</v>
      </c>
      <c r="O125" s="44"/>
    </row>
    <row r="126" spans="1:15" s="51" customFormat="1" x14ac:dyDescent="0.2">
      <c r="A126" s="162" t="s">
        <v>19</v>
      </c>
      <c r="B126" s="128"/>
      <c r="C126" s="128" t="s">
        <v>250</v>
      </c>
      <c r="D126" s="128" t="s">
        <v>199</v>
      </c>
      <c r="E126" s="128" t="s">
        <v>200</v>
      </c>
      <c r="F126" s="128" t="s">
        <v>309</v>
      </c>
      <c r="G126" s="128" t="s">
        <v>152</v>
      </c>
      <c r="H126" s="73">
        <v>852000</v>
      </c>
      <c r="I126" s="233" t="s">
        <v>261</v>
      </c>
      <c r="J126" s="246">
        <f>141567.32+18752.39+22600+87445.83+20000+7341+31941.38+31600+8773+22800+29908.46+53619.72+12800+54035.66+15000+4760</f>
        <v>562944.76000000013</v>
      </c>
      <c r="K126" s="73"/>
      <c r="L126" s="73"/>
      <c r="M126" s="85">
        <f t="shared" ref="M126:M136" si="12">SUM(J126:L126)</f>
        <v>562944.76000000013</v>
      </c>
      <c r="N126" s="85">
        <f t="shared" ref="N126:N136" si="13">SUM(H126-M126)</f>
        <v>289055.23999999987</v>
      </c>
      <c r="O126" s="85"/>
    </row>
    <row r="127" spans="1:15" s="51" customFormat="1" x14ac:dyDescent="0.2">
      <c r="A127" s="162" t="s">
        <v>22</v>
      </c>
      <c r="B127" s="128"/>
      <c r="C127" s="128" t="s">
        <v>250</v>
      </c>
      <c r="D127" s="128" t="s">
        <v>199</v>
      </c>
      <c r="E127" s="128" t="s">
        <v>200</v>
      </c>
      <c r="F127" s="128" t="s">
        <v>310</v>
      </c>
      <c r="G127" s="128" t="s">
        <v>163</v>
      </c>
      <c r="H127" s="73">
        <v>29000</v>
      </c>
      <c r="I127" s="233" t="s">
        <v>261</v>
      </c>
      <c r="J127" s="73">
        <f>50+50+50+117.74+100+100+100+100</f>
        <v>667.74</v>
      </c>
      <c r="K127" s="73"/>
      <c r="L127" s="73"/>
      <c r="M127" s="85">
        <f t="shared" si="12"/>
        <v>667.74</v>
      </c>
      <c r="N127" s="85">
        <f t="shared" si="13"/>
        <v>28332.26</v>
      </c>
      <c r="O127" s="85"/>
    </row>
    <row r="128" spans="1:15" s="51" customFormat="1" x14ac:dyDescent="0.2">
      <c r="A128" s="162" t="s">
        <v>20</v>
      </c>
      <c r="B128" s="128"/>
      <c r="C128" s="128" t="s">
        <v>250</v>
      </c>
      <c r="D128" s="128" t="s">
        <v>199</v>
      </c>
      <c r="E128" s="128" t="s">
        <v>200</v>
      </c>
      <c r="F128" s="128" t="s">
        <v>309</v>
      </c>
      <c r="G128" s="128" t="s">
        <v>153</v>
      </c>
      <c r="H128" s="73">
        <v>257300</v>
      </c>
      <c r="I128" s="233" t="s">
        <v>261</v>
      </c>
      <c r="J128" s="246">
        <f>48221.33+33233.86+17903.27+20923.15+23078.73+20184.4+11908.47</f>
        <v>175453.21000000002</v>
      </c>
      <c r="K128" s="73"/>
      <c r="L128" s="73"/>
      <c r="M128" s="85">
        <f t="shared" si="12"/>
        <v>175453.21000000002</v>
      </c>
      <c r="N128" s="85">
        <f t="shared" si="13"/>
        <v>81846.789999999979</v>
      </c>
      <c r="O128" s="85"/>
    </row>
    <row r="129" spans="1:15" s="51" customFormat="1" x14ac:dyDescent="0.2">
      <c r="A129" s="162" t="s">
        <v>24</v>
      </c>
      <c r="B129" s="128"/>
      <c r="C129" s="128" t="s">
        <v>250</v>
      </c>
      <c r="D129" s="128" t="s">
        <v>199</v>
      </c>
      <c r="E129" s="128" t="s">
        <v>200</v>
      </c>
      <c r="F129" s="128" t="s">
        <v>299</v>
      </c>
      <c r="G129" s="128" t="s">
        <v>165</v>
      </c>
      <c r="H129" s="73"/>
      <c r="I129" s="233" t="s">
        <v>278</v>
      </c>
      <c r="J129" s="246"/>
      <c r="K129" s="73"/>
      <c r="L129" s="73"/>
      <c r="M129" s="85">
        <f t="shared" si="12"/>
        <v>0</v>
      </c>
      <c r="N129" s="85">
        <f t="shared" si="13"/>
        <v>0</v>
      </c>
      <c r="O129" s="85"/>
    </row>
    <row r="130" spans="1:15" s="51" customFormat="1" x14ac:dyDescent="0.2">
      <c r="A130" s="162" t="s">
        <v>25</v>
      </c>
      <c r="B130" s="128"/>
      <c r="C130" s="128" t="s">
        <v>250</v>
      </c>
      <c r="D130" s="128" t="s">
        <v>199</v>
      </c>
      <c r="E130" s="128" t="s">
        <v>200</v>
      </c>
      <c r="F130" s="128" t="s">
        <v>299</v>
      </c>
      <c r="G130" s="128" t="s">
        <v>166</v>
      </c>
      <c r="H130" s="73">
        <v>54000</v>
      </c>
      <c r="I130" s="233" t="s">
        <v>261</v>
      </c>
      <c r="J130" s="246">
        <f>4352.22+4268.8+1974.55+111.1</f>
        <v>10706.67</v>
      </c>
      <c r="K130" s="73"/>
      <c r="L130" s="73"/>
      <c r="M130" s="85">
        <f t="shared" si="12"/>
        <v>10706.67</v>
      </c>
      <c r="N130" s="85">
        <f t="shared" si="13"/>
        <v>43293.33</v>
      </c>
      <c r="O130" s="85"/>
    </row>
    <row r="131" spans="1:15" s="51" customFormat="1" x14ac:dyDescent="0.2">
      <c r="A131" s="162" t="s">
        <v>44</v>
      </c>
      <c r="B131" s="128"/>
      <c r="C131" s="128" t="s">
        <v>250</v>
      </c>
      <c r="D131" s="128" t="s">
        <v>199</v>
      </c>
      <c r="E131" s="128" t="s">
        <v>200</v>
      </c>
      <c r="F131" s="128" t="s">
        <v>299</v>
      </c>
      <c r="G131" s="128" t="s">
        <v>167</v>
      </c>
      <c r="H131" s="73">
        <f>621000-33000-148800-176200-45500-11400</f>
        <v>206100</v>
      </c>
      <c r="I131" s="233" t="s">
        <v>261</v>
      </c>
      <c r="J131" s="73">
        <f>25297.23+9664+870+53093+8101.31+1000+10348.11+19970+870+1000+1000+7629.93+1000+5702+15764.62+7231.3+1000+2399.31+1000</f>
        <v>172940.80999999997</v>
      </c>
      <c r="K131" s="73"/>
      <c r="L131" s="73"/>
      <c r="M131" s="85">
        <f t="shared" si="12"/>
        <v>172940.80999999997</v>
      </c>
      <c r="N131" s="85">
        <f t="shared" si="13"/>
        <v>33159.190000000031</v>
      </c>
      <c r="O131" s="85"/>
    </row>
    <row r="132" spans="1:15" s="51" customFormat="1" ht="15.75" customHeight="1" x14ac:dyDescent="0.2">
      <c r="A132" s="162" t="s">
        <v>37</v>
      </c>
      <c r="B132" s="128"/>
      <c r="C132" s="128" t="s">
        <v>250</v>
      </c>
      <c r="D132" s="128" t="s">
        <v>199</v>
      </c>
      <c r="E132" s="128" t="s">
        <v>200</v>
      </c>
      <c r="F132" s="128" t="s">
        <v>299</v>
      </c>
      <c r="G132" s="128" t="s">
        <v>168</v>
      </c>
      <c r="H132" s="73">
        <f>100000-10000</f>
        <v>90000</v>
      </c>
      <c r="I132" s="233" t="s">
        <v>261</v>
      </c>
      <c r="J132" s="73">
        <f>2399.3+4832+1550+2000+16008+15612.08+4832+4832+7231.31+9981.32+9048+6892.09</f>
        <v>85218.099999999991</v>
      </c>
      <c r="K132" s="73"/>
      <c r="L132" s="73"/>
      <c r="M132" s="85">
        <f t="shared" si="12"/>
        <v>85218.099999999991</v>
      </c>
      <c r="N132" s="85">
        <f t="shared" si="13"/>
        <v>4781.9000000000087</v>
      </c>
      <c r="O132" s="85"/>
    </row>
    <row r="133" spans="1:15" s="51" customFormat="1" ht="15.75" customHeight="1" x14ac:dyDescent="0.2">
      <c r="A133" s="162" t="s">
        <v>28</v>
      </c>
      <c r="B133" s="128"/>
      <c r="C133" s="128" t="s">
        <v>250</v>
      </c>
      <c r="D133" s="128" t="s">
        <v>199</v>
      </c>
      <c r="E133" s="128" t="s">
        <v>200</v>
      </c>
      <c r="F133" s="128" t="s">
        <v>299</v>
      </c>
      <c r="G133" s="128" t="s">
        <v>169</v>
      </c>
      <c r="H133" s="73">
        <f>30000+10000+15000+46000</f>
        <v>101000</v>
      </c>
      <c r="I133" s="233" t="s">
        <v>261</v>
      </c>
      <c r="J133" s="246">
        <f>750+4500+11000+2000+8000+4000+2000+3200+1000+1400+12000+3000</f>
        <v>52850</v>
      </c>
      <c r="K133" s="73"/>
      <c r="L133" s="73"/>
      <c r="M133" s="85">
        <f t="shared" si="12"/>
        <v>52850</v>
      </c>
      <c r="N133" s="85">
        <f t="shared" si="13"/>
        <v>48150</v>
      </c>
      <c r="O133" s="85"/>
    </row>
    <row r="134" spans="1:15" s="51" customFormat="1" ht="15.75" customHeight="1" x14ac:dyDescent="0.2">
      <c r="A134" s="112" t="s">
        <v>29</v>
      </c>
      <c r="B134" s="128"/>
      <c r="C134" s="128" t="s">
        <v>250</v>
      </c>
      <c r="D134" s="128" t="s">
        <v>199</v>
      </c>
      <c r="E134" s="128" t="s">
        <v>200</v>
      </c>
      <c r="F134" s="128" t="s">
        <v>181</v>
      </c>
      <c r="G134" s="128" t="s">
        <v>170</v>
      </c>
      <c r="H134" s="73"/>
      <c r="I134" s="233" t="s">
        <v>261</v>
      </c>
      <c r="J134" s="73"/>
      <c r="K134" s="73"/>
      <c r="L134" s="73"/>
      <c r="M134" s="85">
        <f>SUM(J134:L134)</f>
        <v>0</v>
      </c>
      <c r="N134" s="85">
        <f>SUM(H134-M134)</f>
        <v>0</v>
      </c>
      <c r="O134" s="85"/>
    </row>
    <row r="135" spans="1:15" s="51" customFormat="1" ht="15.75" customHeight="1" x14ac:dyDescent="0.2">
      <c r="A135" s="112" t="s">
        <v>29</v>
      </c>
      <c r="B135" s="128"/>
      <c r="C135" s="128" t="s">
        <v>250</v>
      </c>
      <c r="D135" s="128" t="s">
        <v>199</v>
      </c>
      <c r="E135" s="128" t="s">
        <v>200</v>
      </c>
      <c r="F135" s="128" t="s">
        <v>299</v>
      </c>
      <c r="G135" s="128" t="s">
        <v>170</v>
      </c>
      <c r="H135" s="73">
        <v>14000</v>
      </c>
      <c r="I135" s="233" t="s">
        <v>261</v>
      </c>
      <c r="J135" s="73">
        <v>14000</v>
      </c>
      <c r="K135" s="73"/>
      <c r="L135" s="73"/>
      <c r="M135" s="85">
        <f t="shared" si="12"/>
        <v>14000</v>
      </c>
      <c r="N135" s="85">
        <f t="shared" si="13"/>
        <v>0</v>
      </c>
      <c r="O135" s="85"/>
    </row>
    <row r="136" spans="1:15" s="51" customFormat="1" ht="15.75" customHeight="1" x14ac:dyDescent="0.2">
      <c r="A136" s="112" t="s">
        <v>30</v>
      </c>
      <c r="B136" s="128"/>
      <c r="C136" s="128" t="s">
        <v>250</v>
      </c>
      <c r="D136" s="128" t="s">
        <v>199</v>
      </c>
      <c r="E136" s="128" t="s">
        <v>200</v>
      </c>
      <c r="F136" s="128" t="s">
        <v>299</v>
      </c>
      <c r="G136" s="128" t="s">
        <v>171</v>
      </c>
      <c r="H136" s="73">
        <f>5000+9000+10000+7000+9000+5800</f>
        <v>45800</v>
      </c>
      <c r="I136" s="233" t="s">
        <v>261</v>
      </c>
      <c r="J136" s="246">
        <f>2500+10000+1195+340+3100-2000+8000+7700+4000+2430+1060+600+3800+3000</f>
        <v>45725</v>
      </c>
      <c r="K136" s="73"/>
      <c r="L136" s="73"/>
      <c r="M136" s="85">
        <f t="shared" si="12"/>
        <v>45725</v>
      </c>
      <c r="N136" s="85">
        <f t="shared" si="13"/>
        <v>75</v>
      </c>
      <c r="O136" s="85"/>
    </row>
    <row r="137" spans="1:15" s="68" customFormat="1" ht="15.75" x14ac:dyDescent="0.2">
      <c r="A137" s="129" t="s">
        <v>223</v>
      </c>
      <c r="B137" s="195"/>
      <c r="C137" s="125" t="s">
        <v>147</v>
      </c>
      <c r="D137" s="125" t="s">
        <v>199</v>
      </c>
      <c r="E137" s="125" t="s">
        <v>224</v>
      </c>
      <c r="F137" s="125" t="s">
        <v>147</v>
      </c>
      <c r="G137" s="195" t="s">
        <v>147</v>
      </c>
      <c r="H137" s="44">
        <f>SUM(H138:H147)</f>
        <v>1265700</v>
      </c>
      <c r="I137" s="232" t="s">
        <v>261</v>
      </c>
      <c r="J137" s="44">
        <f>SUM(J138:J147)</f>
        <v>963659.16999999993</v>
      </c>
      <c r="K137" s="44">
        <f>SUM(K138:K147)</f>
        <v>0</v>
      </c>
      <c r="L137" s="44">
        <f>SUM(L138:L147)</f>
        <v>0</v>
      </c>
      <c r="M137" s="44">
        <f>SUM(M138:M147)</f>
        <v>963659.16999999993</v>
      </c>
      <c r="N137" s="44">
        <f>SUM(N138:N147)</f>
        <v>302040.82999999996</v>
      </c>
      <c r="O137" s="44"/>
    </row>
    <row r="138" spans="1:15" s="51" customFormat="1" x14ac:dyDescent="0.2">
      <c r="A138" s="162" t="s">
        <v>19</v>
      </c>
      <c r="B138" s="128"/>
      <c r="C138" s="128" t="s">
        <v>250</v>
      </c>
      <c r="D138" s="128" t="s">
        <v>199</v>
      </c>
      <c r="E138" s="128" t="s">
        <v>224</v>
      </c>
      <c r="F138" s="128" t="s">
        <v>309</v>
      </c>
      <c r="G138" s="128" t="s">
        <v>152</v>
      </c>
      <c r="H138" s="73">
        <v>835000</v>
      </c>
      <c r="I138" s="233" t="s">
        <v>261</v>
      </c>
      <c r="J138" s="246">
        <f>140783.2+25225.1+23100+114211.7+21000+9132+51004.43+18900+12059+21400+53697.38+66999.75+19900+63946.76+16700+6602</f>
        <v>664661.32000000007</v>
      </c>
      <c r="K138" s="73"/>
      <c r="L138" s="73"/>
      <c r="M138" s="85">
        <f t="shared" ref="M138:M147" si="14">SUM(J138:L138)</f>
        <v>664661.32000000007</v>
      </c>
      <c r="N138" s="85">
        <f t="shared" ref="N138:N147" si="15">SUM(H138-M138)</f>
        <v>170338.67999999993</v>
      </c>
      <c r="O138" s="85"/>
    </row>
    <row r="139" spans="1:15" s="51" customFormat="1" x14ac:dyDescent="0.2">
      <c r="A139" s="162" t="s">
        <v>22</v>
      </c>
      <c r="B139" s="128"/>
      <c r="C139" s="128" t="s">
        <v>250</v>
      </c>
      <c r="D139" s="128" t="s">
        <v>199</v>
      </c>
      <c r="E139" s="128" t="s">
        <v>224</v>
      </c>
      <c r="F139" s="128" t="s">
        <v>310</v>
      </c>
      <c r="G139" s="128" t="s">
        <v>163</v>
      </c>
      <c r="H139" s="73">
        <v>28500</v>
      </c>
      <c r="I139" s="233" t="s">
        <v>261</v>
      </c>
      <c r="J139" s="246"/>
      <c r="K139" s="73"/>
      <c r="L139" s="73"/>
      <c r="M139" s="85">
        <f t="shared" si="14"/>
        <v>0</v>
      </c>
      <c r="N139" s="85">
        <f t="shared" si="15"/>
        <v>28500</v>
      </c>
      <c r="O139" s="85"/>
    </row>
    <row r="140" spans="1:15" s="51" customFormat="1" x14ac:dyDescent="0.2">
      <c r="A140" s="162" t="s">
        <v>20</v>
      </c>
      <c r="B140" s="128"/>
      <c r="C140" s="128" t="s">
        <v>250</v>
      </c>
      <c r="D140" s="128" t="s">
        <v>199</v>
      </c>
      <c r="E140" s="128" t="s">
        <v>224</v>
      </c>
      <c r="F140" s="128" t="s">
        <v>309</v>
      </c>
      <c r="G140" s="128" t="s">
        <v>153</v>
      </c>
      <c r="H140" s="73">
        <v>252200</v>
      </c>
      <c r="I140" s="233" t="s">
        <v>261</v>
      </c>
      <c r="J140" s="246">
        <f>50134.5+41468.14+21175.93+28435.25+23857.91+28160.52+15758.96</f>
        <v>208991.21</v>
      </c>
      <c r="K140" s="73"/>
      <c r="L140" s="73"/>
      <c r="M140" s="85">
        <f t="shared" si="14"/>
        <v>208991.21</v>
      </c>
      <c r="N140" s="85">
        <f t="shared" si="15"/>
        <v>43208.790000000008</v>
      </c>
      <c r="O140" s="85"/>
    </row>
    <row r="141" spans="1:15" s="51" customFormat="1" x14ac:dyDescent="0.2">
      <c r="A141" s="162" t="s">
        <v>23</v>
      </c>
      <c r="B141" s="128"/>
      <c r="C141" s="128" t="s">
        <v>250</v>
      </c>
      <c r="D141" s="128" t="s">
        <v>199</v>
      </c>
      <c r="E141" s="128" t="s">
        <v>224</v>
      </c>
      <c r="F141" s="128" t="s">
        <v>201</v>
      </c>
      <c r="G141" s="128" t="s">
        <v>164</v>
      </c>
      <c r="H141" s="73"/>
      <c r="I141" s="233" t="s">
        <v>261</v>
      </c>
      <c r="J141" s="246"/>
      <c r="K141" s="73"/>
      <c r="L141" s="73"/>
      <c r="M141" s="85">
        <f t="shared" si="14"/>
        <v>0</v>
      </c>
      <c r="N141" s="85">
        <f t="shared" si="15"/>
        <v>0</v>
      </c>
      <c r="O141" s="85"/>
    </row>
    <row r="142" spans="1:15" s="51" customFormat="1" x14ac:dyDescent="0.2">
      <c r="A142" s="162" t="s">
        <v>25</v>
      </c>
      <c r="B142" s="128"/>
      <c r="C142" s="128" t="s">
        <v>250</v>
      </c>
      <c r="D142" s="128" t="s">
        <v>199</v>
      </c>
      <c r="E142" s="128" t="s">
        <v>224</v>
      </c>
      <c r="F142" s="128" t="s">
        <v>299</v>
      </c>
      <c r="G142" s="128" t="s">
        <v>166</v>
      </c>
      <c r="H142" s="73">
        <v>40000</v>
      </c>
      <c r="I142" s="233" t="s">
        <v>261</v>
      </c>
      <c r="J142" s="246">
        <f>12092.64+6508.75+1200.28+126.69+110.83+71.98+113.67</f>
        <v>20224.839999999997</v>
      </c>
      <c r="K142" s="73"/>
      <c r="L142" s="73"/>
      <c r="M142" s="85">
        <f t="shared" si="14"/>
        <v>20224.839999999997</v>
      </c>
      <c r="N142" s="85">
        <f t="shared" si="15"/>
        <v>19775.160000000003</v>
      </c>
      <c r="O142" s="85"/>
    </row>
    <row r="143" spans="1:15" s="51" customFormat="1" x14ac:dyDescent="0.2">
      <c r="A143" s="162" t="s">
        <v>44</v>
      </c>
      <c r="B143" s="128"/>
      <c r="C143" s="128" t="s">
        <v>250</v>
      </c>
      <c r="D143" s="128" t="s">
        <v>199</v>
      </c>
      <c r="E143" s="128" t="s">
        <v>224</v>
      </c>
      <c r="F143" s="128" t="s">
        <v>299</v>
      </c>
      <c r="G143" s="128" t="s">
        <v>167</v>
      </c>
      <c r="H143" s="73">
        <v>86000</v>
      </c>
      <c r="I143" s="233" t="s">
        <v>261</v>
      </c>
      <c r="J143" s="246">
        <f>16698+4785+7161+2088.67+4204.34+2376+4785+5632.57+8212.62+1370.24</f>
        <v>57313.439999999995</v>
      </c>
      <c r="K143" s="73"/>
      <c r="L143" s="73"/>
      <c r="M143" s="85">
        <f t="shared" si="14"/>
        <v>57313.439999999995</v>
      </c>
      <c r="N143" s="85">
        <f t="shared" si="15"/>
        <v>28686.560000000005</v>
      </c>
      <c r="O143" s="85"/>
    </row>
    <row r="144" spans="1:15" s="51" customFormat="1" ht="15.75" customHeight="1" x14ac:dyDescent="0.2">
      <c r="A144" s="162" t="s">
        <v>37</v>
      </c>
      <c r="B144" s="128"/>
      <c r="C144" s="128" t="s">
        <v>250</v>
      </c>
      <c r="D144" s="128" t="s">
        <v>199</v>
      </c>
      <c r="E144" s="128" t="s">
        <v>224</v>
      </c>
      <c r="F144" s="128" t="s">
        <v>299</v>
      </c>
      <c r="G144" s="128" t="s">
        <v>168</v>
      </c>
      <c r="H144" s="73">
        <v>15000</v>
      </c>
      <c r="I144" s="233" t="s">
        <v>261</v>
      </c>
      <c r="J144" s="246">
        <v>7540.36</v>
      </c>
      <c r="K144" s="73"/>
      <c r="L144" s="73"/>
      <c r="M144" s="85">
        <f t="shared" si="14"/>
        <v>7540.36</v>
      </c>
      <c r="N144" s="85">
        <f t="shared" si="15"/>
        <v>7459.64</v>
      </c>
      <c r="O144" s="85"/>
    </row>
    <row r="145" spans="1:15" s="51" customFormat="1" ht="15.75" customHeight="1" x14ac:dyDescent="0.2">
      <c r="A145" s="162" t="s">
        <v>28</v>
      </c>
      <c r="B145" s="128"/>
      <c r="C145" s="128" t="s">
        <v>250</v>
      </c>
      <c r="D145" s="128" t="s">
        <v>199</v>
      </c>
      <c r="E145" s="128" t="s">
        <v>224</v>
      </c>
      <c r="F145" s="128" t="s">
        <v>299</v>
      </c>
      <c r="G145" s="128" t="s">
        <v>169</v>
      </c>
      <c r="H145" s="73">
        <f>1000+500+2500</f>
        <v>4000</v>
      </c>
      <c r="I145" s="233" t="s">
        <v>261</v>
      </c>
      <c r="J145" s="246">
        <f>362+1000+2500</f>
        <v>3862</v>
      </c>
      <c r="K145" s="73"/>
      <c r="L145" s="73"/>
      <c r="M145" s="85">
        <f t="shared" si="14"/>
        <v>3862</v>
      </c>
      <c r="N145" s="85">
        <f t="shared" si="15"/>
        <v>138</v>
      </c>
      <c r="O145" s="85"/>
    </row>
    <row r="146" spans="1:15" s="51" customFormat="1" ht="15.75" customHeight="1" x14ac:dyDescent="0.2">
      <c r="A146" s="112" t="s">
        <v>29</v>
      </c>
      <c r="B146" s="128"/>
      <c r="C146" s="128" t="s">
        <v>250</v>
      </c>
      <c r="D146" s="128" t="s">
        <v>199</v>
      </c>
      <c r="E146" s="128" t="s">
        <v>224</v>
      </c>
      <c r="F146" s="128" t="s">
        <v>299</v>
      </c>
      <c r="G146" s="128" t="s">
        <v>170</v>
      </c>
      <c r="H146" s="73"/>
      <c r="I146" s="233" t="s">
        <v>261</v>
      </c>
      <c r="J146" s="246"/>
      <c r="K146" s="73"/>
      <c r="L146" s="73"/>
      <c r="M146" s="85">
        <f t="shared" si="14"/>
        <v>0</v>
      </c>
      <c r="N146" s="85">
        <f t="shared" si="15"/>
        <v>0</v>
      </c>
      <c r="O146" s="85"/>
    </row>
    <row r="147" spans="1:15" s="51" customFormat="1" ht="15.75" customHeight="1" x14ac:dyDescent="0.2">
      <c r="A147" s="112" t="s">
        <v>30</v>
      </c>
      <c r="B147" s="128"/>
      <c r="C147" s="128" t="s">
        <v>250</v>
      </c>
      <c r="D147" s="128" t="s">
        <v>199</v>
      </c>
      <c r="E147" s="128" t="s">
        <v>224</v>
      </c>
      <c r="F147" s="128" t="s">
        <v>299</v>
      </c>
      <c r="G147" s="128" t="s">
        <v>171</v>
      </c>
      <c r="H147" s="73">
        <v>5000</v>
      </c>
      <c r="I147" s="233" t="s">
        <v>261</v>
      </c>
      <c r="J147" s="246">
        <f>516+550</f>
        <v>1066</v>
      </c>
      <c r="K147" s="73"/>
      <c r="L147" s="73"/>
      <c r="M147" s="85">
        <f t="shared" si="14"/>
        <v>1066</v>
      </c>
      <c r="N147" s="85">
        <f t="shared" si="15"/>
        <v>3934</v>
      </c>
      <c r="O147" s="85"/>
    </row>
    <row r="148" spans="1:15" s="68" customFormat="1" ht="15.75" x14ac:dyDescent="0.2">
      <c r="A148" s="91" t="s">
        <v>46</v>
      </c>
      <c r="B148" s="197"/>
      <c r="C148" s="197" t="s">
        <v>147</v>
      </c>
      <c r="D148" s="197" t="s">
        <v>202</v>
      </c>
      <c r="E148" s="197" t="s">
        <v>149</v>
      </c>
      <c r="F148" s="197" t="s">
        <v>147</v>
      </c>
      <c r="G148" s="197" t="s">
        <v>147</v>
      </c>
      <c r="H148" s="95">
        <f>SUM(H149+H151)</f>
        <v>226000</v>
      </c>
      <c r="I148" s="242" t="s">
        <v>261</v>
      </c>
      <c r="J148" s="95">
        <f>SUM(J149+J151)</f>
        <v>175258.31000000003</v>
      </c>
      <c r="K148" s="95">
        <f>SUM(K149+K151)</f>
        <v>0</v>
      </c>
      <c r="L148" s="95">
        <f>SUM(L149+L151)</f>
        <v>0</v>
      </c>
      <c r="M148" s="95">
        <f>SUM(M149+M151)</f>
        <v>175258.31000000003</v>
      </c>
      <c r="N148" s="95">
        <f>SUM(N149+N151)</f>
        <v>50741.689999999973</v>
      </c>
      <c r="O148" s="95"/>
    </row>
    <row r="149" spans="1:15" s="48" customFormat="1" ht="15.75" x14ac:dyDescent="0.2">
      <c r="A149" s="129" t="s">
        <v>47</v>
      </c>
      <c r="B149" s="125"/>
      <c r="C149" s="125" t="s">
        <v>147</v>
      </c>
      <c r="D149" s="125" t="s">
        <v>203</v>
      </c>
      <c r="E149" s="125" t="s">
        <v>149</v>
      </c>
      <c r="F149" s="125" t="s">
        <v>147</v>
      </c>
      <c r="G149" s="125" t="s">
        <v>147</v>
      </c>
      <c r="H149" s="44">
        <f>SUM(H150)</f>
        <v>226000</v>
      </c>
      <c r="I149" s="232" t="s">
        <v>261</v>
      </c>
      <c r="J149" s="44">
        <f>SUM(J150)</f>
        <v>175258.31000000003</v>
      </c>
      <c r="K149" s="44">
        <f>SUM(K150)</f>
        <v>0</v>
      </c>
      <c r="L149" s="44">
        <f>SUM(L150)</f>
        <v>0</v>
      </c>
      <c r="M149" s="44">
        <f>SUM(J149:L149)</f>
        <v>175258.31000000003</v>
      </c>
      <c r="N149" s="44">
        <f>SUM(H149-M149)</f>
        <v>50741.689999999973</v>
      </c>
      <c r="O149" s="44"/>
    </row>
    <row r="150" spans="1:15" s="51" customFormat="1" x14ac:dyDescent="0.2">
      <c r="A150" s="162" t="s">
        <v>48</v>
      </c>
      <c r="B150" s="128"/>
      <c r="C150" s="128" t="s">
        <v>250</v>
      </c>
      <c r="D150" s="128" t="s">
        <v>203</v>
      </c>
      <c r="E150" s="128" t="s">
        <v>204</v>
      </c>
      <c r="F150" s="128" t="s">
        <v>311</v>
      </c>
      <c r="G150" s="128" t="s">
        <v>206</v>
      </c>
      <c r="H150" s="73">
        <v>226000</v>
      </c>
      <c r="I150" s="233" t="s">
        <v>261</v>
      </c>
      <c r="J150" s="246">
        <f>16687.41+15153.23+14726.07+27970.07+14726.07+14726.07+19321.13+19321.13+32627.13</f>
        <v>175258.31000000003</v>
      </c>
      <c r="K150" s="73"/>
      <c r="L150" s="73"/>
      <c r="M150" s="73">
        <f>SUM(J150:L150)</f>
        <v>175258.31000000003</v>
      </c>
      <c r="N150" s="73">
        <f>SUM(H150-M150)</f>
        <v>50741.689999999973</v>
      </c>
      <c r="O150" s="73"/>
    </row>
    <row r="151" spans="1:15" s="68" customFormat="1" ht="15.75" x14ac:dyDescent="0.2">
      <c r="A151" s="130" t="s">
        <v>49</v>
      </c>
      <c r="B151" s="195"/>
      <c r="C151" s="198" t="s">
        <v>147</v>
      </c>
      <c r="D151" s="198" t="s">
        <v>207</v>
      </c>
      <c r="E151" s="198" t="s">
        <v>149</v>
      </c>
      <c r="F151" s="198" t="s">
        <v>147</v>
      </c>
      <c r="G151" s="198" t="s">
        <v>147</v>
      </c>
      <c r="H151" s="84">
        <f>SUM(H152)</f>
        <v>0</v>
      </c>
      <c r="I151" s="240" t="s">
        <v>261</v>
      </c>
      <c r="J151" s="84">
        <v>0</v>
      </c>
      <c r="K151" s="84">
        <f>SUM(K152)</f>
        <v>0</v>
      </c>
      <c r="L151" s="84">
        <f>SUM(L152)</f>
        <v>0</v>
      </c>
      <c r="M151" s="84">
        <f>SUM(J151:L151)</f>
        <v>0</v>
      </c>
      <c r="N151" s="84">
        <f>SUM(H151-M151)</f>
        <v>0</v>
      </c>
      <c r="O151" s="84"/>
    </row>
    <row r="152" spans="1:15" s="51" customFormat="1" x14ac:dyDescent="0.2">
      <c r="A152" s="162" t="s">
        <v>37</v>
      </c>
      <c r="B152" s="128"/>
      <c r="C152" s="128" t="s">
        <v>250</v>
      </c>
      <c r="D152" s="128" t="s">
        <v>207</v>
      </c>
      <c r="E152" s="128" t="s">
        <v>208</v>
      </c>
      <c r="F152" s="128" t="s">
        <v>205</v>
      </c>
      <c r="G152" s="128" t="s">
        <v>168</v>
      </c>
      <c r="H152" s="73"/>
      <c r="I152" s="233" t="s">
        <v>261</v>
      </c>
      <c r="J152" s="73"/>
      <c r="K152" s="73"/>
      <c r="L152" s="73"/>
      <c r="M152" s="73">
        <f>SUM(J152:L152)</f>
        <v>0</v>
      </c>
      <c r="N152" s="73">
        <f>SUM(H152-M152)</f>
        <v>0</v>
      </c>
      <c r="O152" s="73"/>
    </row>
    <row r="153" spans="1:15" s="68" customFormat="1" ht="15.75" x14ac:dyDescent="0.2">
      <c r="A153" s="91" t="s">
        <v>225</v>
      </c>
      <c r="B153" s="197"/>
      <c r="C153" s="197" t="s">
        <v>147</v>
      </c>
      <c r="D153" s="125" t="s">
        <v>280</v>
      </c>
      <c r="E153" s="197" t="s">
        <v>149</v>
      </c>
      <c r="F153" s="197" t="s">
        <v>147</v>
      </c>
      <c r="G153" s="197" t="s">
        <v>147</v>
      </c>
      <c r="H153" s="95">
        <f>SUM(H154)</f>
        <v>20000</v>
      </c>
      <c r="I153" s="242" t="s">
        <v>261</v>
      </c>
      <c r="J153" s="95">
        <f>SUM(J154)</f>
        <v>12500</v>
      </c>
      <c r="K153" s="95">
        <f>SUM(K154)</f>
        <v>0</v>
      </c>
      <c r="L153" s="95">
        <f>SUM(L154)</f>
        <v>0</v>
      </c>
      <c r="M153" s="95">
        <f>SUM(M154)</f>
        <v>12500</v>
      </c>
      <c r="N153" s="95">
        <f>SUM(N154)</f>
        <v>7500</v>
      </c>
      <c r="O153" s="95"/>
    </row>
    <row r="154" spans="1:15" s="48" customFormat="1" ht="15.75" x14ac:dyDescent="0.2">
      <c r="A154" s="129" t="s">
        <v>226</v>
      </c>
      <c r="B154" s="125"/>
      <c r="C154" s="125" t="s">
        <v>147</v>
      </c>
      <c r="D154" s="125" t="s">
        <v>280</v>
      </c>
      <c r="E154" s="125" t="s">
        <v>227</v>
      </c>
      <c r="F154" s="125" t="s">
        <v>81</v>
      </c>
      <c r="G154" s="125" t="s">
        <v>147</v>
      </c>
      <c r="H154" s="44">
        <f>SUM(H155+H156)</f>
        <v>20000</v>
      </c>
      <c r="I154" s="232" t="s">
        <v>261</v>
      </c>
      <c r="J154" s="44">
        <f>SUM(J155+J156)</f>
        <v>12500</v>
      </c>
      <c r="K154" s="44">
        <f>SUM(K155+K156)</f>
        <v>0</v>
      </c>
      <c r="L154" s="44">
        <f>SUM(L155+L156)</f>
        <v>0</v>
      </c>
      <c r="M154" s="44">
        <f>SUM(M155+M156)</f>
        <v>12500</v>
      </c>
      <c r="N154" s="44">
        <f>SUM(N155+N156)</f>
        <v>7500</v>
      </c>
      <c r="O154" s="44"/>
    </row>
    <row r="155" spans="1:15" s="51" customFormat="1" ht="15.75" customHeight="1" x14ac:dyDescent="0.2">
      <c r="A155" s="162" t="s">
        <v>37</v>
      </c>
      <c r="B155" s="128"/>
      <c r="C155" s="128" t="s">
        <v>250</v>
      </c>
      <c r="D155" s="128" t="s">
        <v>280</v>
      </c>
      <c r="E155" s="128" t="s">
        <v>227</v>
      </c>
      <c r="F155" s="128" t="s">
        <v>299</v>
      </c>
      <c r="G155" s="128" t="s">
        <v>169</v>
      </c>
      <c r="H155" s="73">
        <f>20000-3000</f>
        <v>17000</v>
      </c>
      <c r="I155" s="233" t="s">
        <v>261</v>
      </c>
      <c r="J155" s="73">
        <f>1500+3000+5000</f>
        <v>9500</v>
      </c>
      <c r="K155" s="73"/>
      <c r="L155" s="73"/>
      <c r="M155" s="85">
        <f>SUM(J155:L155)</f>
        <v>9500</v>
      </c>
      <c r="N155" s="85">
        <f>SUM(H155-M155)</f>
        <v>7500</v>
      </c>
      <c r="O155" s="85"/>
    </row>
    <row r="156" spans="1:15" s="51" customFormat="1" ht="15.75" customHeight="1" x14ac:dyDescent="0.2">
      <c r="A156" s="162" t="s">
        <v>28</v>
      </c>
      <c r="B156" s="128"/>
      <c r="C156" s="128" t="s">
        <v>250</v>
      </c>
      <c r="D156" s="128" t="s">
        <v>280</v>
      </c>
      <c r="E156" s="128" t="s">
        <v>227</v>
      </c>
      <c r="F156" s="128" t="s">
        <v>299</v>
      </c>
      <c r="G156" s="128" t="s">
        <v>171</v>
      </c>
      <c r="H156" s="73">
        <v>3000</v>
      </c>
      <c r="I156" s="233" t="s">
        <v>261</v>
      </c>
      <c r="J156" s="73">
        <v>3000</v>
      </c>
      <c r="K156" s="73"/>
      <c r="L156" s="73"/>
      <c r="M156" s="85">
        <f>SUM(J156:L156)</f>
        <v>3000</v>
      </c>
      <c r="N156" s="85">
        <f>SUM(H156-M156)</f>
        <v>0</v>
      </c>
      <c r="O156" s="85"/>
    </row>
    <row r="157" spans="1:15" s="51" customFormat="1" ht="15.75" x14ac:dyDescent="0.25">
      <c r="A157" s="249"/>
      <c r="B157" s="128"/>
      <c r="C157" s="125"/>
      <c r="D157" s="125"/>
      <c r="E157" s="125"/>
      <c r="F157" s="125"/>
      <c r="G157" s="125"/>
      <c r="H157" s="44"/>
      <c r="I157" s="233"/>
      <c r="J157" s="44"/>
      <c r="K157" s="73"/>
      <c r="L157" s="73"/>
      <c r="M157" s="73"/>
      <c r="N157" s="73"/>
      <c r="O157" s="73"/>
    </row>
    <row r="158" spans="1:15" s="51" customFormat="1" x14ac:dyDescent="0.2">
      <c r="A158" s="162"/>
      <c r="B158" s="128"/>
      <c r="C158" s="128"/>
      <c r="D158" s="128"/>
      <c r="E158" s="128"/>
      <c r="F158" s="128"/>
      <c r="G158" s="128"/>
      <c r="H158" s="73"/>
      <c r="I158" s="233"/>
      <c r="J158" s="73"/>
      <c r="K158" s="73"/>
      <c r="L158" s="73"/>
      <c r="M158" s="73"/>
      <c r="N158" s="73"/>
      <c r="O158" s="73"/>
    </row>
    <row r="159" spans="1:15" s="68" customFormat="1" ht="36" customHeight="1" x14ac:dyDescent="0.2">
      <c r="A159" s="126" t="s">
        <v>106</v>
      </c>
      <c r="B159" s="196"/>
      <c r="C159" s="196"/>
      <c r="D159" s="196"/>
      <c r="E159" s="196"/>
      <c r="F159" s="196"/>
      <c r="G159" s="196"/>
      <c r="H159" s="85">
        <f>SUM(Доходы!D14-Расходы!H6)</f>
        <v>-1283000</v>
      </c>
      <c r="I159" s="236" t="s">
        <v>261</v>
      </c>
      <c r="J159" s="85">
        <f>SUM(Доходы!H14-Расходы!J6)</f>
        <v>1176668.4000000004</v>
      </c>
      <c r="K159" s="85">
        <f>SUM(Доходы!F14-Расходы!K6)</f>
        <v>0</v>
      </c>
      <c r="L159" s="85">
        <f>SUM(Доходы!G14-Расходы!L6)</f>
        <v>0</v>
      </c>
      <c r="M159" s="85">
        <f>SUM(Доходы!H14-Расходы!M6)</f>
        <v>1202878.4000000004</v>
      </c>
      <c r="N159" s="85">
        <f>SUM(Доходы!I14-Расходы!N6)</f>
        <v>539721.59999999963</v>
      </c>
      <c r="O159" s="85"/>
    </row>
    <row r="160" spans="1:15" s="68" customFormat="1" x14ac:dyDescent="0.2">
      <c r="A160" s="131"/>
      <c r="B160" s="199"/>
      <c r="C160" s="199"/>
      <c r="D160" s="199"/>
      <c r="E160" s="199"/>
      <c r="F160" s="199"/>
      <c r="G160" s="199"/>
      <c r="H160" s="132"/>
      <c r="I160" s="243"/>
      <c r="J160" s="134"/>
      <c r="K160" s="135"/>
      <c r="L160" s="133"/>
      <c r="M160" s="133"/>
      <c r="N160" s="132"/>
      <c r="O160" s="133"/>
    </row>
    <row r="161" spans="1:15" x14ac:dyDescent="0.2">
      <c r="A161" s="20"/>
      <c r="B161" s="200"/>
      <c r="C161" s="200"/>
      <c r="D161" s="200"/>
      <c r="E161" s="200"/>
      <c r="F161" s="200"/>
      <c r="G161" s="200"/>
      <c r="H161" s="37"/>
      <c r="I161" s="244"/>
      <c r="J161" s="37"/>
      <c r="K161" s="37"/>
      <c r="L161" s="37"/>
      <c r="M161" s="37"/>
      <c r="N161" s="37"/>
      <c r="O161" s="37"/>
    </row>
    <row r="163" spans="1:15" x14ac:dyDescent="0.2">
      <c r="A163" s="1"/>
    </row>
    <row r="165" spans="1:15" ht="18" x14ac:dyDescent="0.2">
      <c r="A165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3" orientation="landscape" verticalDpi="300" r:id="rId1"/>
  <headerFooter alignWithMargins="0"/>
  <rowBreaks count="3" manualBreakCount="3">
    <brk id="37" max="14" man="1"/>
    <brk id="84" max="14" man="1"/>
    <brk id="12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D22" sqref="D22:I22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85" t="s">
        <v>263</v>
      </c>
      <c r="B1" s="285"/>
      <c r="C1" s="285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89" t="s">
        <v>89</v>
      </c>
      <c r="B3" s="287" t="s">
        <v>3</v>
      </c>
      <c r="C3" s="298" t="s">
        <v>146</v>
      </c>
      <c r="D3" s="295" t="s">
        <v>257</v>
      </c>
      <c r="E3" s="297" t="s">
        <v>15</v>
      </c>
      <c r="F3" s="297"/>
      <c r="G3" s="297"/>
      <c r="H3" s="297"/>
      <c r="I3" s="291" t="s">
        <v>16</v>
      </c>
    </row>
    <row r="4" spans="1:9" s="190" customFormat="1" ht="72" customHeight="1" x14ac:dyDescent="0.2">
      <c r="A4" s="290"/>
      <c r="B4" s="288"/>
      <c r="C4" s="299"/>
      <c r="D4" s="296"/>
      <c r="E4" s="191" t="s">
        <v>141</v>
      </c>
      <c r="F4" s="186" t="s">
        <v>5</v>
      </c>
      <c r="G4" s="188" t="s">
        <v>17</v>
      </c>
      <c r="H4" s="189" t="s">
        <v>88</v>
      </c>
      <c r="I4" s="292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-1176668.3999999999</v>
      </c>
      <c r="F6" s="145">
        <f>SUM(F11)</f>
        <v>0</v>
      </c>
      <c r="G6" s="145">
        <f>SUM(G11)</f>
        <v>0</v>
      </c>
      <c r="H6" s="95">
        <f t="shared" ref="H6:H14" si="0">SUM(E6:G6)</f>
        <v>-1176668.3999999999</v>
      </c>
      <c r="I6" s="95">
        <f t="shared" ref="I6:I11" si="1">SUM(D6-H6)</f>
        <v>2459668.4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-1176668.3999999999</v>
      </c>
      <c r="F11" s="49">
        <f>SUM(F12-F13)</f>
        <v>0</v>
      </c>
      <c r="G11" s="49">
        <f>SUM(G12-G13)</f>
        <v>0</v>
      </c>
      <c r="H11" s="49">
        <f t="shared" si="0"/>
        <v>-1176668.3999999999</v>
      </c>
      <c r="I11" s="49">
        <f t="shared" si="1"/>
        <v>2459668.4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f>1283188.15+1176668.4</f>
        <v>2459856.5499999998</v>
      </c>
      <c r="F13" s="85"/>
      <c r="G13" s="85"/>
      <c r="H13" s="84">
        <f t="shared" si="0"/>
        <v>2459856.5499999998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329</v>
      </c>
      <c r="B17" s="206"/>
      <c r="C17" s="205" t="s">
        <v>330</v>
      </c>
      <c r="D17" s="206"/>
      <c r="E17" s="213"/>
      <c r="F17" s="213"/>
      <c r="G17" s="213"/>
      <c r="H17" s="213"/>
      <c r="I17" s="220"/>
    </row>
    <row r="18" spans="1:9" x14ac:dyDescent="0.2">
      <c r="A18" s="286" t="s">
        <v>214</v>
      </c>
      <c r="B18" s="286"/>
      <c r="C18" s="204" t="s">
        <v>211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212</v>
      </c>
      <c r="B20" s="209"/>
      <c r="C20" s="211" t="s">
        <v>269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213</v>
      </c>
      <c r="B21" s="22"/>
      <c r="C21" s="204" t="s">
        <v>211</v>
      </c>
      <c r="D21" s="33" t="s">
        <v>277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93"/>
      <c r="E22" s="293"/>
      <c r="F22" s="293"/>
      <c r="G22" s="293"/>
      <c r="H22" s="293"/>
      <c r="I22" s="293"/>
    </row>
    <row r="23" spans="1:9" ht="15" x14ac:dyDescent="0.2">
      <c r="A23" s="227"/>
      <c r="B23" s="24"/>
      <c r="C23" s="294"/>
      <c r="D23" s="294"/>
      <c r="E23" s="294"/>
      <c r="F23" s="294"/>
      <c r="G23" s="294"/>
      <c r="H23" s="294"/>
      <c r="I23" s="294"/>
    </row>
    <row r="24" spans="1:9" x14ac:dyDescent="0.2">
      <c r="A24" s="24"/>
      <c r="B24" s="24"/>
      <c r="C24" s="214"/>
      <c r="D24" s="294"/>
      <c r="E24" s="294"/>
      <c r="F24" s="294"/>
      <c r="G24" s="294"/>
      <c r="H24" s="294"/>
      <c r="I24" s="294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2014-10-10T06:23:44Z</cp:lastPrinted>
  <dcterms:created xsi:type="dcterms:W3CDTF">2008-04-03T05:22:18Z</dcterms:created>
  <dcterms:modified xsi:type="dcterms:W3CDTF">2014-10-10T06:35:14Z</dcterms:modified>
</cp:coreProperties>
</file>