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9990" windowHeight="546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Доходы!$11:$13</definedName>
    <definedName name="_xlnm.Print_Titles" localSheetId="1">Расходы!$3:$5</definedName>
    <definedName name="_xlnm.Print_Area" localSheetId="0">Доходы!$A$1:$I$80</definedName>
    <definedName name="_xlnm.Print_Area" localSheetId="2">Источники!$A$1:$I$27</definedName>
    <definedName name="_xlnm.Print_Area" localSheetId="1">Расходы!$A$1:$O$164</definedName>
  </definedNames>
  <calcPr calcId="145621"/>
</workbook>
</file>

<file path=xl/calcChain.xml><?xml version="1.0" encoding="utf-8"?>
<calcChain xmlns="http://schemas.openxmlformats.org/spreadsheetml/2006/main">
  <c r="H31" i="3" l="1"/>
  <c r="H145" i="3"/>
  <c r="H139" i="3"/>
  <c r="H133" i="3"/>
  <c r="H115" i="3"/>
  <c r="H24" i="3"/>
  <c r="J24" i="3"/>
  <c r="E13" i="4"/>
  <c r="J159" i="3"/>
  <c r="J117" i="3"/>
  <c r="J112" i="3"/>
  <c r="E35" i="2" l="1"/>
  <c r="E37" i="2"/>
  <c r="E32" i="2"/>
  <c r="E29" i="2"/>
  <c r="E22" i="2"/>
  <c r="E26" i="2"/>
  <c r="E25" i="2"/>
  <c r="E24" i="2"/>
  <c r="J147" i="3" l="1"/>
  <c r="J146" i="3"/>
  <c r="J143" i="3"/>
  <c r="J141" i="3"/>
  <c r="J135" i="3"/>
  <c r="J134" i="3"/>
  <c r="J131" i="3"/>
  <c r="J128" i="3"/>
  <c r="J114" i="3"/>
  <c r="J110" i="3"/>
  <c r="J100" i="3"/>
  <c r="J41" i="3"/>
  <c r="J40" i="3"/>
  <c r="J22" i="3"/>
  <c r="J17" i="3"/>
  <c r="J15" i="3"/>
  <c r="J145" i="3"/>
  <c r="J133" i="3"/>
  <c r="J99" i="3"/>
  <c r="J20" i="3"/>
  <c r="J18" i="3"/>
  <c r="J31" i="3"/>
  <c r="J27" i="3"/>
  <c r="J154" i="3"/>
  <c r="J115" i="3"/>
  <c r="J73" i="3"/>
  <c r="E71" i="2" l="1"/>
  <c r="J109" i="3" l="1"/>
  <c r="J129" i="3"/>
  <c r="J46" i="3"/>
  <c r="J43" i="3"/>
  <c r="H135" i="3" l="1"/>
  <c r="H148" i="3"/>
  <c r="J148" i="3"/>
  <c r="H151" i="3" l="1"/>
  <c r="H134" i="3"/>
  <c r="H117" i="3"/>
  <c r="H112" i="3"/>
  <c r="H103" i="3"/>
  <c r="J69" i="3"/>
  <c r="J21" i="3"/>
  <c r="J26" i="3"/>
  <c r="J37" i="3"/>
  <c r="E19" i="2" l="1"/>
  <c r="H25" i="3" l="1"/>
  <c r="J25" i="3"/>
  <c r="H136" i="3" l="1"/>
  <c r="H74" i="3"/>
  <c r="D24" i="2"/>
  <c r="D26" i="2"/>
  <c r="D25" i="2"/>
  <c r="J23" i="3" l="1"/>
  <c r="J86" i="3"/>
  <c r="J82" i="3" l="1"/>
  <c r="J16" i="3"/>
  <c r="J96" i="3" l="1"/>
  <c r="H93" i="3" l="1"/>
  <c r="H96" i="3"/>
  <c r="L68" i="3"/>
  <c r="K68" i="3"/>
  <c r="J68" i="3"/>
  <c r="H68" i="3"/>
  <c r="H114" i="3" l="1"/>
  <c r="H110" i="3" l="1"/>
  <c r="H77" i="3"/>
  <c r="J76" i="3" l="1"/>
  <c r="H130" i="3" l="1"/>
  <c r="M129" i="3"/>
  <c r="N129" i="3" s="1"/>
  <c r="H20" i="2" l="1"/>
  <c r="D43" i="2"/>
  <c r="H70" i="3" l="1"/>
  <c r="M76" i="3"/>
  <c r="N76" i="3" s="1"/>
  <c r="J70" i="3" l="1"/>
  <c r="M77" i="3" l="1"/>
  <c r="N77" i="3" s="1"/>
  <c r="H57" i="3" l="1"/>
  <c r="J57" i="3" l="1"/>
  <c r="M55" i="3"/>
  <c r="N55" i="3" s="1"/>
  <c r="M146" i="3"/>
  <c r="N146" i="3" s="1"/>
  <c r="J158" i="3" l="1"/>
  <c r="M74" i="3" l="1"/>
  <c r="N74" i="3" s="1"/>
  <c r="H39" i="2" l="1"/>
  <c r="H48" i="3" l="1"/>
  <c r="J48" i="3" l="1"/>
  <c r="E55" i="2" l="1"/>
  <c r="E64" i="2"/>
  <c r="H73" i="2"/>
  <c r="I73" i="2" s="1"/>
  <c r="H74" i="2"/>
  <c r="I74" i="2"/>
  <c r="J36" i="3" l="1"/>
  <c r="J157" i="3"/>
  <c r="H27" i="3" l="1"/>
  <c r="H14" i="3" s="1"/>
  <c r="J153" i="3" l="1"/>
  <c r="M37" i="3" l="1"/>
  <c r="N37" i="3" s="1"/>
  <c r="L36" i="3"/>
  <c r="K36" i="3"/>
  <c r="M36" i="3" s="1"/>
  <c r="N36" i="3" s="1"/>
  <c r="H36" i="3"/>
  <c r="N35" i="3"/>
  <c r="M35" i="3"/>
  <c r="J113" i="3" l="1"/>
  <c r="J152" i="3"/>
  <c r="J140" i="3"/>
  <c r="J127" i="3"/>
  <c r="J123" i="3"/>
  <c r="J122" i="3" s="1"/>
  <c r="J118" i="3"/>
  <c r="J108" i="3"/>
  <c r="J104" i="3"/>
  <c r="J98" i="3"/>
  <c r="J87" i="3"/>
  <c r="J61" i="3"/>
  <c r="J52" i="3"/>
  <c r="J39" i="3"/>
  <c r="J38" i="3" s="1"/>
  <c r="J14" i="3"/>
  <c r="J7" i="3" l="1"/>
  <c r="J67" i="3"/>
  <c r="J126" i="3"/>
  <c r="J97" i="3"/>
  <c r="J81" i="3" s="1"/>
  <c r="J47" i="3"/>
  <c r="J6" i="3" l="1"/>
  <c r="E23" i="2"/>
  <c r="D23" i="2" l="1"/>
  <c r="H26" i="2"/>
  <c r="I26" i="2" s="1"/>
  <c r="G23" i="2"/>
  <c r="F23" i="2"/>
  <c r="H23" i="2"/>
  <c r="H25" i="2"/>
  <c r="I25" i="2" s="1"/>
  <c r="H24" i="2"/>
  <c r="I24" i="2" s="1"/>
  <c r="H22" i="2"/>
  <c r="I22" i="2" s="1"/>
  <c r="I23" i="2" l="1"/>
  <c r="H35" i="2"/>
  <c r="M72" i="3" l="1"/>
  <c r="N72" i="3" s="1"/>
  <c r="M51" i="3" l="1"/>
  <c r="N51" i="3" s="1"/>
  <c r="M62" i="3" l="1"/>
  <c r="N62" i="3"/>
  <c r="M58" i="3"/>
  <c r="N58" i="3" s="1"/>
  <c r="H61" i="3" l="1"/>
  <c r="M63" i="3"/>
  <c r="N63" i="3" s="1"/>
  <c r="N61" i="3" s="1"/>
  <c r="M61" i="3" l="1"/>
  <c r="E43" i="2" l="1"/>
  <c r="M18" i="3" l="1"/>
  <c r="N18" i="3" s="1"/>
  <c r="E36" i="2"/>
  <c r="E33" i="2" s="1"/>
  <c r="I35" i="2"/>
  <c r="M110" i="3"/>
  <c r="N110" i="3" s="1"/>
  <c r="M41" i="3"/>
  <c r="N41" i="3" s="1"/>
  <c r="M103" i="3"/>
  <c r="M137" i="3"/>
  <c r="N137" i="3" s="1"/>
  <c r="H98" i="3"/>
  <c r="M28" i="3"/>
  <c r="N28" i="3" s="1"/>
  <c r="D34" i="2"/>
  <c r="D36" i="2"/>
  <c r="D31" i="2"/>
  <c r="D38" i="2"/>
  <c r="D64" i="2"/>
  <c r="H52" i="3"/>
  <c r="H108" i="3"/>
  <c r="H113" i="3"/>
  <c r="H127" i="3"/>
  <c r="E17" i="2"/>
  <c r="E31" i="2"/>
  <c r="E34" i="2"/>
  <c r="E40" i="2"/>
  <c r="E51" i="2"/>
  <c r="E58" i="2"/>
  <c r="E38" i="2"/>
  <c r="M30" i="3"/>
  <c r="N30" i="3" s="1"/>
  <c r="E60" i="2"/>
  <c r="H62" i="2"/>
  <c r="I62" i="2" s="1"/>
  <c r="H61" i="2"/>
  <c r="I61" i="2" s="1"/>
  <c r="D60" i="2"/>
  <c r="F60" i="2"/>
  <c r="G60" i="2"/>
  <c r="M93" i="3"/>
  <c r="N93" i="3" s="1"/>
  <c r="M80" i="3"/>
  <c r="N80" i="3" s="1"/>
  <c r="M75" i="3"/>
  <c r="N75" i="3" s="1"/>
  <c r="H87" i="3"/>
  <c r="M92" i="3"/>
  <c r="N92" i="3" s="1"/>
  <c r="M101" i="3"/>
  <c r="N101" i="3" s="1"/>
  <c r="M59" i="3"/>
  <c r="N59" i="3" s="1"/>
  <c r="N57" i="3" s="1"/>
  <c r="M60" i="3"/>
  <c r="M64" i="3"/>
  <c r="N64" i="3" s="1"/>
  <c r="M49" i="3"/>
  <c r="M50" i="3"/>
  <c r="N50" i="3" s="1"/>
  <c r="L57" i="3"/>
  <c r="L61" i="3"/>
  <c r="L48" i="3"/>
  <c r="K57" i="3"/>
  <c r="K61" i="3"/>
  <c r="K48" i="3"/>
  <c r="H65" i="3"/>
  <c r="M69" i="3"/>
  <c r="M68" i="3" s="1"/>
  <c r="M71" i="3"/>
  <c r="N71" i="3" s="1"/>
  <c r="M73" i="3"/>
  <c r="N73" i="3" s="1"/>
  <c r="K78" i="3"/>
  <c r="L78" i="3"/>
  <c r="L70" i="3"/>
  <c r="K70" i="3"/>
  <c r="M27" i="3"/>
  <c r="N27" i="3" s="1"/>
  <c r="M26" i="3"/>
  <c r="N26" i="3" s="1"/>
  <c r="M24" i="3"/>
  <c r="M22" i="3"/>
  <c r="N22" i="3" s="1"/>
  <c r="M66" i="3"/>
  <c r="N66" i="3" s="1"/>
  <c r="M100" i="3"/>
  <c r="N100" i="3" s="1"/>
  <c r="H104" i="3"/>
  <c r="H118" i="3"/>
  <c r="M89" i="3"/>
  <c r="N89" i="3" s="1"/>
  <c r="E47" i="2"/>
  <c r="E46" i="2" s="1"/>
  <c r="E42" i="2" s="1"/>
  <c r="E56" i="2"/>
  <c r="E49" i="2"/>
  <c r="E28" i="2"/>
  <c r="D52" i="2"/>
  <c r="D51" i="2" s="1"/>
  <c r="F52" i="2"/>
  <c r="F51" i="2" s="1"/>
  <c r="G52" i="2"/>
  <c r="G51" i="2" s="1"/>
  <c r="G50" i="2" s="1"/>
  <c r="G49" i="2" s="1"/>
  <c r="H82" i="3"/>
  <c r="K123" i="3"/>
  <c r="K122" i="3" s="1"/>
  <c r="K118" i="3" s="1"/>
  <c r="L123" i="3"/>
  <c r="L122" i="3" s="1"/>
  <c r="L118" i="3" s="1"/>
  <c r="H71" i="2"/>
  <c r="I71" i="2" s="1"/>
  <c r="H8" i="3"/>
  <c r="H11" i="3"/>
  <c r="H32" i="3"/>
  <c r="H34" i="3"/>
  <c r="H140" i="3"/>
  <c r="H39" i="3"/>
  <c r="H38" i="3" s="1"/>
  <c r="H153" i="3"/>
  <c r="H155" i="3"/>
  <c r="H123" i="3"/>
  <c r="H122" i="3" s="1"/>
  <c r="H158" i="3"/>
  <c r="H157" i="3" s="1"/>
  <c r="H54" i="2"/>
  <c r="I54" i="2" s="1"/>
  <c r="H53" i="2"/>
  <c r="I53" i="2" s="1"/>
  <c r="H70" i="2"/>
  <c r="I70" i="2" s="1"/>
  <c r="M96" i="3"/>
  <c r="N96" i="3" s="1"/>
  <c r="K34" i="3"/>
  <c r="M34" i="3" s="1"/>
  <c r="L34" i="3"/>
  <c r="D19" i="2"/>
  <c r="D47" i="2"/>
  <c r="D46" i="2"/>
  <c r="D56" i="2"/>
  <c r="D55" i="2" s="1"/>
  <c r="D58" i="2"/>
  <c r="D28" i="2"/>
  <c r="D40" i="2"/>
  <c r="F36" i="2"/>
  <c r="F34" i="2"/>
  <c r="F31" i="2"/>
  <c r="F19" i="2"/>
  <c r="F17" i="2" s="1"/>
  <c r="F16" i="2" s="1"/>
  <c r="F28" i="2"/>
  <c r="F40" i="2"/>
  <c r="F43" i="2"/>
  <c r="F47" i="2"/>
  <c r="F46" i="2" s="1"/>
  <c r="F56" i="2"/>
  <c r="F55" i="2" s="1"/>
  <c r="F58" i="2"/>
  <c r="F38" i="2"/>
  <c r="F64" i="2"/>
  <c r="G64" i="2"/>
  <c r="G19" i="2"/>
  <c r="G17" i="2" s="1"/>
  <c r="G16" i="2" s="1"/>
  <c r="G28" i="2"/>
  <c r="G31" i="2"/>
  <c r="G34" i="2"/>
  <c r="G36" i="2"/>
  <c r="G40" i="2"/>
  <c r="G43" i="2"/>
  <c r="G47" i="2"/>
  <c r="G46" i="2" s="1"/>
  <c r="G56" i="2"/>
  <c r="G58" i="2"/>
  <c r="G38" i="2"/>
  <c r="K8" i="3"/>
  <c r="K11" i="3"/>
  <c r="K14" i="3"/>
  <c r="K32" i="3"/>
  <c r="K52" i="3"/>
  <c r="L8" i="3"/>
  <c r="L11" i="3"/>
  <c r="L14" i="3"/>
  <c r="L32" i="3"/>
  <c r="L52" i="3"/>
  <c r="K39" i="3"/>
  <c r="K38" i="3" s="1"/>
  <c r="M38" i="3" s="1"/>
  <c r="L39" i="3"/>
  <c r="L38" i="3" s="1"/>
  <c r="K82" i="3"/>
  <c r="K87" i="3"/>
  <c r="K98" i="3"/>
  <c r="M98" i="3" s="1"/>
  <c r="K104" i="3"/>
  <c r="K108" i="3"/>
  <c r="K113" i="3"/>
  <c r="L82" i="3"/>
  <c r="L87" i="3"/>
  <c r="L98" i="3"/>
  <c r="L104" i="3"/>
  <c r="L108" i="3"/>
  <c r="L113" i="3"/>
  <c r="M159" i="3"/>
  <c r="N159" i="3" s="1"/>
  <c r="M160" i="3"/>
  <c r="N160" i="3" s="1"/>
  <c r="M125" i="3"/>
  <c r="M124" i="3"/>
  <c r="N124" i="3" s="1"/>
  <c r="M128" i="3"/>
  <c r="M130" i="3"/>
  <c r="M131" i="3"/>
  <c r="N131" i="3" s="1"/>
  <c r="M133" i="3"/>
  <c r="N133" i="3" s="1"/>
  <c r="M134" i="3"/>
  <c r="N134" i="3" s="1"/>
  <c r="M135" i="3"/>
  <c r="N135" i="3" s="1"/>
  <c r="M136" i="3"/>
  <c r="N136" i="3" s="1"/>
  <c r="M139" i="3"/>
  <c r="N139" i="3" s="1"/>
  <c r="M132" i="3"/>
  <c r="N132" i="3" s="1"/>
  <c r="M138" i="3"/>
  <c r="N138" i="3" s="1"/>
  <c r="M141" i="3"/>
  <c r="N141" i="3" s="1"/>
  <c r="M142" i="3"/>
  <c r="N142" i="3" s="1"/>
  <c r="M143" i="3"/>
  <c r="N143" i="3" s="1"/>
  <c r="M145" i="3"/>
  <c r="N145" i="3" s="1"/>
  <c r="M147" i="3"/>
  <c r="N147" i="3" s="1"/>
  <c r="M148" i="3"/>
  <c r="M151" i="3"/>
  <c r="N151" i="3" s="1"/>
  <c r="M144" i="3"/>
  <c r="N144" i="3" s="1"/>
  <c r="M149" i="3"/>
  <c r="N149" i="3" s="1"/>
  <c r="M150" i="3"/>
  <c r="N150" i="3" s="1"/>
  <c r="K153" i="3"/>
  <c r="L153" i="3"/>
  <c r="K155" i="3"/>
  <c r="L155" i="3"/>
  <c r="H72" i="2"/>
  <c r="I72" i="2" s="1"/>
  <c r="H69" i="2"/>
  <c r="H68" i="2"/>
  <c r="I68" i="2" s="1"/>
  <c r="H66" i="2"/>
  <c r="I66" i="2" s="1"/>
  <c r="H65" i="2"/>
  <c r="H59" i="2"/>
  <c r="I59" i="2" s="1"/>
  <c r="H57" i="2"/>
  <c r="I57" i="2" s="1"/>
  <c r="H52" i="2"/>
  <c r="H48" i="2"/>
  <c r="I48" i="2" s="1"/>
  <c r="H45" i="2"/>
  <c r="I45" i="2" s="1"/>
  <c r="H44" i="2"/>
  <c r="I44" i="2" s="1"/>
  <c r="H41" i="2"/>
  <c r="I41" i="2" s="1"/>
  <c r="I39" i="2"/>
  <c r="H37" i="2"/>
  <c r="I37" i="2" s="1"/>
  <c r="H32" i="2"/>
  <c r="I32" i="2" s="1"/>
  <c r="H29" i="2"/>
  <c r="I29" i="2" s="1"/>
  <c r="H18" i="2"/>
  <c r="I18" i="2" s="1"/>
  <c r="I20" i="2"/>
  <c r="H21" i="2"/>
  <c r="I21" i="2" s="1"/>
  <c r="I27" i="2"/>
  <c r="M44" i="3"/>
  <c r="N44" i="3" s="1"/>
  <c r="K158" i="3"/>
  <c r="K157" i="3" s="1"/>
  <c r="L158" i="3"/>
  <c r="L157" i="3" s="1"/>
  <c r="M84" i="3"/>
  <c r="N84" i="3" s="1"/>
  <c r="M85" i="3"/>
  <c r="N85" i="3" s="1"/>
  <c r="M86" i="3"/>
  <c r="N86" i="3" s="1"/>
  <c r="M79" i="3"/>
  <c r="N79" i="3" s="1"/>
  <c r="M53" i="3"/>
  <c r="N53" i="3" s="1"/>
  <c r="M54" i="3"/>
  <c r="N54" i="3" s="1"/>
  <c r="M56" i="3"/>
  <c r="N56" i="3" s="1"/>
  <c r="M40" i="3"/>
  <c r="N40" i="3" s="1"/>
  <c r="M42" i="3"/>
  <c r="N42" i="3" s="1"/>
  <c r="M43" i="3"/>
  <c r="N43" i="3" s="1"/>
  <c r="M45" i="3"/>
  <c r="N45" i="3" s="1"/>
  <c r="M46" i="3"/>
  <c r="N46" i="3" s="1"/>
  <c r="K127" i="3"/>
  <c r="K140" i="3"/>
  <c r="L127" i="3"/>
  <c r="L140" i="3"/>
  <c r="M83" i="3"/>
  <c r="N83" i="3" s="1"/>
  <c r="D11" i="4"/>
  <c r="D6" i="4" s="1"/>
  <c r="E11" i="4"/>
  <c r="E6" i="4" s="1"/>
  <c r="F11" i="4"/>
  <c r="F6" i="4" s="1"/>
  <c r="G11" i="4"/>
  <c r="G6" i="4" s="1"/>
  <c r="H7" i="4"/>
  <c r="I7" i="4" s="1"/>
  <c r="H8" i="4"/>
  <c r="I8" i="4" s="1"/>
  <c r="H9" i="4"/>
  <c r="I9" i="4" s="1"/>
  <c r="H10" i="4"/>
  <c r="I10" i="4" s="1"/>
  <c r="H12" i="4"/>
  <c r="H13" i="4"/>
  <c r="H14" i="4"/>
  <c r="M8" i="3"/>
  <c r="N8" i="3" s="1"/>
  <c r="M9" i="3"/>
  <c r="N9" i="3" s="1"/>
  <c r="M10" i="3"/>
  <c r="N10" i="3" s="1"/>
  <c r="M12" i="3"/>
  <c r="N12" i="3" s="1"/>
  <c r="M13" i="3"/>
  <c r="N13" i="3" s="1"/>
  <c r="M15" i="3"/>
  <c r="N15" i="3" s="1"/>
  <c r="M16" i="3"/>
  <c r="N16" i="3" s="1"/>
  <c r="M17" i="3"/>
  <c r="N17" i="3" s="1"/>
  <c r="M19" i="3"/>
  <c r="N19" i="3" s="1"/>
  <c r="M20" i="3"/>
  <c r="N20" i="3" s="1"/>
  <c r="M21" i="3"/>
  <c r="N21" i="3" s="1"/>
  <c r="M23" i="3"/>
  <c r="N23" i="3" s="1"/>
  <c r="M25" i="3"/>
  <c r="N25" i="3" s="1"/>
  <c r="M29" i="3"/>
  <c r="N29" i="3" s="1"/>
  <c r="M31" i="3"/>
  <c r="N31" i="3" s="1"/>
  <c r="M33" i="3"/>
  <c r="N33" i="3" s="1"/>
  <c r="M87" i="3"/>
  <c r="M88" i="3"/>
  <c r="N88" i="3" s="1"/>
  <c r="M90" i="3"/>
  <c r="N90" i="3" s="1"/>
  <c r="M94" i="3"/>
  <c r="N94" i="3" s="1"/>
  <c r="M95" i="3"/>
  <c r="N95" i="3" s="1"/>
  <c r="M99" i="3"/>
  <c r="N99" i="3" s="1"/>
  <c r="M102" i="3"/>
  <c r="N102" i="3" s="1"/>
  <c r="M104" i="3"/>
  <c r="N104" i="3" s="1"/>
  <c r="M105" i="3"/>
  <c r="N105" i="3"/>
  <c r="M106" i="3"/>
  <c r="N106" i="3" s="1"/>
  <c r="M107" i="3"/>
  <c r="N107" i="3" s="1"/>
  <c r="M109" i="3"/>
  <c r="N109" i="3" s="1"/>
  <c r="M111" i="3"/>
  <c r="N111" i="3" s="1"/>
  <c r="M112" i="3"/>
  <c r="N112" i="3" s="1"/>
  <c r="M114" i="3"/>
  <c r="N114" i="3" s="1"/>
  <c r="M115" i="3"/>
  <c r="N115" i="3" s="1"/>
  <c r="M116" i="3"/>
  <c r="N116" i="3" s="1"/>
  <c r="M117" i="3"/>
  <c r="N117" i="3" s="1"/>
  <c r="M154" i="3"/>
  <c r="N154" i="3" s="1"/>
  <c r="M156" i="3"/>
  <c r="N156" i="3" s="1"/>
  <c r="N38" i="3" l="1"/>
  <c r="H7" i="3"/>
  <c r="H97" i="3"/>
  <c r="H81" i="3" s="1"/>
  <c r="D17" i="2"/>
  <c r="D16" i="2" s="1"/>
  <c r="D42" i="2"/>
  <c r="E16" i="2"/>
  <c r="E15" i="2" s="1"/>
  <c r="F33" i="2"/>
  <c r="D33" i="2"/>
  <c r="D30" i="2" s="1"/>
  <c r="H40" i="2"/>
  <c r="H47" i="2"/>
  <c r="I47" i="2" s="1"/>
  <c r="H60" i="2"/>
  <c r="I60" i="2" s="1"/>
  <c r="H31" i="2"/>
  <c r="I31" i="2" s="1"/>
  <c r="L126" i="3"/>
  <c r="L67" i="3"/>
  <c r="H152" i="3"/>
  <c r="M78" i="3"/>
  <c r="M48" i="3"/>
  <c r="M14" i="3"/>
  <c r="N14" i="3" s="1"/>
  <c r="L47" i="3"/>
  <c r="K126" i="3"/>
  <c r="L152" i="3"/>
  <c r="K47" i="3"/>
  <c r="I69" i="2"/>
  <c r="H64" i="2"/>
  <c r="I64" i="2" s="1"/>
  <c r="L97" i="3"/>
  <c r="K67" i="3"/>
  <c r="M57" i="3"/>
  <c r="N103" i="3"/>
  <c r="M113" i="3"/>
  <c r="N113" i="3" s="1"/>
  <c r="K152" i="3"/>
  <c r="M32" i="3"/>
  <c r="N32" i="3" s="1"/>
  <c r="N24" i="3"/>
  <c r="H38" i="2"/>
  <c r="I38" i="2" s="1"/>
  <c r="N98" i="3"/>
  <c r="H46" i="2"/>
  <c r="I46" i="2" s="1"/>
  <c r="H6" i="4"/>
  <c r="I6" i="4" s="1"/>
  <c r="H19" i="2"/>
  <c r="I19" i="2" s="1"/>
  <c r="I52" i="2"/>
  <c r="N128" i="3"/>
  <c r="K97" i="3"/>
  <c r="H36" i="2"/>
  <c r="I36" i="2" s="1"/>
  <c r="F30" i="2"/>
  <c r="N91" i="3"/>
  <c r="N34" i="3"/>
  <c r="N69" i="3"/>
  <c r="N68" i="3" s="1"/>
  <c r="M108" i="3"/>
  <c r="N108" i="3" s="1"/>
  <c r="N82" i="3"/>
  <c r="M155" i="3"/>
  <c r="N155" i="3" s="1"/>
  <c r="H58" i="2"/>
  <c r="I58" i="2" s="1"/>
  <c r="M11" i="3"/>
  <c r="N11" i="3" s="1"/>
  <c r="N49" i="3"/>
  <c r="N48" i="3" s="1"/>
  <c r="N60" i="3"/>
  <c r="N87" i="3"/>
  <c r="N78" i="3"/>
  <c r="H67" i="3"/>
  <c r="G42" i="2"/>
  <c r="E30" i="2"/>
  <c r="I40" i="2"/>
  <c r="H34" i="2"/>
  <c r="I34" i="2" s="1"/>
  <c r="M153" i="3"/>
  <c r="M152" i="3" s="1"/>
  <c r="H28" i="2"/>
  <c r="I28" i="2" s="1"/>
  <c r="H126" i="3"/>
  <c r="M118" i="3"/>
  <c r="N118" i="3" s="1"/>
  <c r="H47" i="3"/>
  <c r="M140" i="3"/>
  <c r="N148" i="3"/>
  <c r="N140" i="3" s="1"/>
  <c r="N70" i="3"/>
  <c r="M70" i="3"/>
  <c r="H11" i="4"/>
  <c r="I11" i="4" s="1"/>
  <c r="M39" i="3"/>
  <c r="M52" i="3"/>
  <c r="M158" i="3"/>
  <c r="M157" i="3" s="1"/>
  <c r="H43" i="2"/>
  <c r="I43" i="2" s="1"/>
  <c r="I65" i="2"/>
  <c r="N130" i="3"/>
  <c r="M127" i="3"/>
  <c r="N125" i="3"/>
  <c r="N123" i="3" s="1"/>
  <c r="N122" i="3" s="1"/>
  <c r="M123" i="3"/>
  <c r="M122" i="3" s="1"/>
  <c r="K7" i="3"/>
  <c r="G55" i="2"/>
  <c r="H55" i="2" s="1"/>
  <c r="I55" i="2" s="1"/>
  <c r="H56" i="2"/>
  <c r="I56" i="2" s="1"/>
  <c r="D49" i="2"/>
  <c r="L81" i="3"/>
  <c r="M82" i="3"/>
  <c r="N39" i="3"/>
  <c r="N158" i="3"/>
  <c r="N157" i="3" s="1"/>
  <c r="G33" i="2"/>
  <c r="G30" i="2" s="1"/>
  <c r="N52" i="3"/>
  <c r="K81" i="3"/>
  <c r="L7" i="3"/>
  <c r="F42" i="2"/>
  <c r="F50" i="2"/>
  <c r="H51" i="2"/>
  <c r="I51" i="2" s="1"/>
  <c r="H6" i="3" l="1"/>
  <c r="D15" i="2"/>
  <c r="D14" i="2" s="1"/>
  <c r="H42" i="2"/>
  <c r="I42" i="2" s="1"/>
  <c r="G15" i="2"/>
  <c r="M67" i="3"/>
  <c r="H16" i="2"/>
  <c r="I16" i="2" s="1"/>
  <c r="E14" i="2"/>
  <c r="M47" i="3"/>
  <c r="H17" i="2"/>
  <c r="I17" i="2" s="1"/>
  <c r="N67" i="3"/>
  <c r="N127" i="3"/>
  <c r="N126" i="3" s="1"/>
  <c r="N153" i="3"/>
  <c r="N152" i="3" s="1"/>
  <c r="H33" i="2"/>
  <c r="I33" i="2" s="1"/>
  <c r="L6" i="3"/>
  <c r="N47" i="3"/>
  <c r="M126" i="3"/>
  <c r="H50" i="2"/>
  <c r="I50" i="2" s="1"/>
  <c r="F49" i="2"/>
  <c r="H49" i="2" s="1"/>
  <c r="I49" i="2" s="1"/>
  <c r="F15" i="2"/>
  <c r="H30" i="2"/>
  <c r="I30" i="2" s="1"/>
  <c r="K6" i="3"/>
  <c r="G14" i="2"/>
  <c r="G63" i="2"/>
  <c r="M7" i="3"/>
  <c r="D63" i="2" l="1"/>
  <c r="L163" i="3"/>
  <c r="E63" i="2"/>
  <c r="M81" i="3"/>
  <c r="M97" i="3"/>
  <c r="N97" i="3" s="1"/>
  <c r="F63" i="2"/>
  <c r="F14" i="2"/>
  <c r="K163" i="3" s="1"/>
  <c r="N7" i="3"/>
  <c r="H163" i="3"/>
  <c r="H15" i="2"/>
  <c r="I15" i="2" s="1"/>
  <c r="H63" i="2" l="1"/>
  <c r="I63" i="2" s="1"/>
  <c r="N81" i="3"/>
  <c r="N6" i="3" s="1"/>
  <c r="M6" i="3"/>
  <c r="H14" i="2"/>
  <c r="J163" i="3" s="1"/>
  <c r="M163" i="3" l="1"/>
  <c r="I14" i="2"/>
  <c r="N163" i="3" s="1"/>
</calcChain>
</file>

<file path=xl/sharedStrings.xml><?xml version="1.0" encoding="utf-8"?>
<sst xmlns="http://schemas.openxmlformats.org/spreadsheetml/2006/main" count="1280" uniqueCount="353">
  <si>
    <t>1. Доходы бюджета</t>
  </si>
  <si>
    <t>0503127</t>
  </si>
  <si>
    <t>383</t>
  </si>
  <si>
    <t>Код строки</t>
  </si>
  <si>
    <t>Наименование показателя</t>
  </si>
  <si>
    <t>через банковские счета</t>
  </si>
  <si>
    <t>Налоги на прибыль, доходы</t>
  </si>
  <si>
    <t>Единый сельскохозяйственный налог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</si>
  <si>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</si>
  <si>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</si>
  <si>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</si>
  <si>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</si>
  <si>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Безвозмездные поступления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</si>
  <si>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</si>
  <si>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Расходы бюджета</t>
  </si>
  <si>
    <t>Исполнено</t>
  </si>
  <si>
    <t>Неисполненные назначения</t>
  </si>
  <si>
    <t>некассовые операции</t>
  </si>
  <si>
    <t>Общегосударственные вопросы</t>
  </si>
  <si>
    <t>Заработная плата</t>
  </si>
  <si>
    <t>Начисления на оплату труда</t>
  </si>
  <si>
    <t>Функционирование местных администраций</t>
  </si>
  <si>
    <t>Прочие выплаты (командировочные)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</si>
  <si>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</si>
  <si>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</si>
  <si>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</si>
  <si>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</si>
  <si>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</si>
  <si>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</si>
  <si>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</si>
  <si>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</si>
  <si>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</si>
  <si>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</si>
  <si>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</si>
  <si>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</si>
  <si>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</si>
  <si>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</si>
  <si>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</si>
  <si>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</si>
  <si>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</si>
  <si>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</si>
  <si>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</si>
  <si>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</si>
  <si>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Прочие мероприятия по благоустройсту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</si>
  <si>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</si>
  <si>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</si>
  <si>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</si>
  <si>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</si>
  <si>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Пенсии, пособия</t>
  </si>
  <si>
    <t>Социальное обеспечение населения</t>
  </si>
  <si>
    <t>Источники финансирования дефицита бюджетов - всего</t>
  </si>
  <si>
    <t>Изменение остатков средств</t>
  </si>
  <si>
    <t>Остаток средств на начало года</t>
  </si>
  <si>
    <t>КОДЫ</t>
  </si>
  <si>
    <t>ИТОГО</t>
  </si>
  <si>
    <t>источники внутреннего финансирования бюджетов</t>
  </si>
  <si>
    <t>Доходы бюджета - всего</t>
  </si>
  <si>
    <t>010</t>
  </si>
  <si>
    <t>000  100  00000  00  0000  000</t>
  </si>
  <si>
    <t>000  101  00000  00  0000  000</t>
  </si>
  <si>
    <t>000  105  00000  00  0000  000</t>
  </si>
  <si>
    <t>Налоги на совокупный доход</t>
  </si>
  <si>
    <t>000  106  00000  00  0000  000</t>
  </si>
  <si>
    <t>000  106  01000  00  0000  110</t>
  </si>
  <si>
    <t>000  106  06000  00  0000  110</t>
  </si>
  <si>
    <t>000  111  00000  00  0000  000</t>
  </si>
  <si>
    <t>000  111  05000  00  0000  120</t>
  </si>
  <si>
    <t>000  111  09000  00  0000  120</t>
  </si>
  <si>
    <t>000  111  09040  00  0000  120</t>
  </si>
  <si>
    <t>000  111  09045  10  0000  120</t>
  </si>
  <si>
    <t>000 115  00000  00 0000 000</t>
  </si>
  <si>
    <t>000  115  02000 00 0000  140</t>
  </si>
  <si>
    <t>000  115  02050  10  0000  140</t>
  </si>
  <si>
    <t>000  117  00000  00  0000  000</t>
  </si>
  <si>
    <t>Прочие неналоговые доходы</t>
  </si>
  <si>
    <t>000  117  05050  10  0000  180</t>
  </si>
  <si>
    <t>Итого собственные доходы:</t>
  </si>
  <si>
    <t>000   850 00000  00  0000  000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</si>
  <si>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</si>
  <si>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</si>
  <si>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</si>
  <si>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Другие общегосударственные вопросы</t>
  </si>
  <si>
    <t xml:space="preserve">                         ОТЧЕТ  ОБ  ИСПОЛНЕНИИ БЮДЖЕТА</t>
  </si>
  <si>
    <t xml:space="preserve"> Форма по ОКУД</t>
  </si>
  <si>
    <t xml:space="preserve">Единица измерения:  руб. с точностью до второго десятичного знака </t>
  </si>
  <si>
    <r>
      <t>Периодичность:</t>
    </r>
    <r>
      <rPr>
        <u/>
        <sz val="8"/>
        <rFont val="Arial CYR"/>
        <charset val="204"/>
      </rPr>
      <t xml:space="preserve"> </t>
    </r>
    <r>
      <rPr>
        <b/>
        <u/>
        <sz val="11"/>
        <rFont val="Arial Cyr"/>
        <charset val="204"/>
      </rPr>
      <t>месячная</t>
    </r>
  </si>
  <si>
    <t>итого</t>
  </si>
  <si>
    <t xml:space="preserve"> Наименование показателя</t>
  </si>
  <si>
    <t>4</t>
  </si>
  <si>
    <t>5</t>
  </si>
  <si>
    <t>6</t>
  </si>
  <si>
    <t>7</t>
  </si>
  <si>
    <t>8</t>
  </si>
  <si>
    <t>9</t>
  </si>
  <si>
    <t>10</t>
  </si>
  <si>
    <t xml:space="preserve">      в том числе:</t>
  </si>
  <si>
    <t>520</t>
  </si>
  <si>
    <t>источники внешнего финансирования бюджетов</t>
  </si>
  <si>
    <t>620</t>
  </si>
  <si>
    <t>Остаток средств на конец отчетного периода</t>
  </si>
  <si>
    <t>в том числе сумма в пути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</si>
  <si>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</si>
  <si>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</si>
  <si>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</si>
  <si>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r>
      <t>Результат исполнения бюджета (дефицит"-", профицит</t>
    </r>
    <r>
      <rPr>
        <b/>
        <sz val="11"/>
        <rFont val="Arial"/>
        <family val="2"/>
        <charset val="204"/>
      </rPr>
      <t>"+")</t>
    </r>
  </si>
  <si>
    <t>Налоговые и неналоговые доходы</t>
  </si>
  <si>
    <t>000  101  02000  01  0000  110</t>
  </si>
  <si>
    <t>Налог на доходы физичеческих лиц</t>
  </si>
  <si>
    <t>Налог на имущество физических лиц</t>
  </si>
  <si>
    <t>Прочие неналоговые доходы бюджетов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</si>
  <si>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</si>
  <si>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</si>
  <si>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</si>
  <si>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</si>
  <si>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</si>
  <si>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</si>
  <si>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</si>
  <si>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</si>
  <si>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</si>
  <si>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</si>
  <si>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</si>
  <si>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</si>
  <si>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</si>
  <si>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</si>
  <si>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</si>
  <si>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</si>
  <si>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поселений за выполнение определенных функций</t>
  </si>
  <si>
    <t>Субвенции бюджетам поселений на государственную регистрацию актов гражданского состояния</t>
  </si>
  <si>
    <t>000  109  00000  00  0000  000</t>
  </si>
  <si>
    <t>000  109  04050  10  0000  110</t>
  </si>
  <si>
    <t>Задолженность и перерасчеты по отмененным налогам, сборам и иным обязательным платежам</t>
  </si>
  <si>
    <t>Земельный налог(по обязательствам, возникающим до 01.01.06), мобилизуемый на территориях поселений</t>
  </si>
  <si>
    <t>00 01 05 00 00 00 0000 000</t>
  </si>
  <si>
    <t>000  117  01050 10  0000  180</t>
  </si>
  <si>
    <t>000  108  00000  00  0000  000</t>
  </si>
  <si>
    <t>ИСТОЧНИКОВ ФИНАНСИРОВАНИЯ ДЕФИЦИТА БЮДЖЕТА, ГЛАВНОГО АДМИНИСТРАТОРА, АДМИНИСТРАТОРА ДОХОДОВ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</si>
  <si>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</si>
  <si>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РФ и муниципального образования</t>
  </si>
  <si>
    <t>301  202  01001  10  0000  151</t>
  </si>
  <si>
    <t>через финансовые органы</t>
  </si>
  <si>
    <r>
      <t xml:space="preserve"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  </t>
    </r>
    <r>
      <rPr>
        <b/>
        <u/>
        <sz val="11"/>
        <rFont val="Arial Cyr"/>
        <charset val="204"/>
      </rPr>
      <t xml:space="preserve">    </t>
    </r>
  </si>
  <si>
    <t>Код дохода по бюджетной классификации</t>
  </si>
  <si>
    <t>Код расхода по бюджетной классификации</t>
  </si>
  <si>
    <r>
      <t xml:space="preserve">Расходы бюджета - всего                </t>
    </r>
    <r>
      <rPr>
        <b/>
        <sz val="10"/>
        <rFont val="Arial"/>
        <family val="2"/>
        <charset val="204"/>
      </rPr>
      <t>в том числе:</t>
    </r>
  </si>
  <si>
    <t>Код источника финансирования по бюджетной классификации</t>
  </si>
  <si>
    <t>000</t>
  </si>
  <si>
    <t>0100</t>
  </si>
  <si>
    <t>0000000</t>
  </si>
  <si>
    <t>0102</t>
  </si>
  <si>
    <t>0020300</t>
  </si>
  <si>
    <t>211</t>
  </si>
  <si>
    <t>213</t>
  </si>
  <si>
    <t>Код КОСГУ</t>
  </si>
  <si>
    <t>Код ВР</t>
  </si>
  <si>
    <t>Код ЦСР</t>
  </si>
  <si>
    <t>Код Радела Подраздела</t>
  </si>
  <si>
    <t>Код Главы</t>
  </si>
  <si>
    <t>0103</t>
  </si>
  <si>
    <t>0104</t>
  </si>
  <si>
    <t>0021200</t>
  </si>
  <si>
    <t>0020400</t>
  </si>
  <si>
    <t>212</t>
  </si>
  <si>
    <t>221</t>
  </si>
  <si>
    <t>222</t>
  </si>
  <si>
    <t>223</t>
  </si>
  <si>
    <t>225</t>
  </si>
  <si>
    <t>226</t>
  </si>
  <si>
    <t>290</t>
  </si>
  <si>
    <t>310</t>
  </si>
  <si>
    <t>340</t>
  </si>
  <si>
    <t>0107</t>
  </si>
  <si>
    <t>0200</t>
  </si>
  <si>
    <t>0203</t>
  </si>
  <si>
    <t>0013600</t>
  </si>
  <si>
    <t>0300</t>
  </si>
  <si>
    <t>0309</t>
  </si>
  <si>
    <t>2180100</t>
  </si>
  <si>
    <t>0400</t>
  </si>
  <si>
    <t>006</t>
  </si>
  <si>
    <t>242</t>
  </si>
  <si>
    <t>0500</t>
  </si>
  <si>
    <t>0501</t>
  </si>
  <si>
    <t>0980101</t>
  </si>
  <si>
    <t>241</t>
  </si>
  <si>
    <t>0980201</t>
  </si>
  <si>
    <t>0502</t>
  </si>
  <si>
    <t>3510500</t>
  </si>
  <si>
    <t>0503</t>
  </si>
  <si>
    <t>0000100</t>
  </si>
  <si>
    <t>6000100</t>
  </si>
  <si>
    <t>0000200</t>
  </si>
  <si>
    <t>6000200</t>
  </si>
  <si>
    <t>0000400</t>
  </si>
  <si>
    <t>6000400</t>
  </si>
  <si>
    <t>0000500</t>
  </si>
  <si>
    <t>6000500</t>
  </si>
  <si>
    <t>0800</t>
  </si>
  <si>
    <t>0801</t>
  </si>
  <si>
    <t>4409900</t>
  </si>
  <si>
    <t>001</t>
  </si>
  <si>
    <t>1000</t>
  </si>
  <si>
    <t>1001</t>
  </si>
  <si>
    <t>4910100</t>
  </si>
  <si>
    <t>005</t>
  </si>
  <si>
    <t>263</t>
  </si>
  <si>
    <t>1003</t>
  </si>
  <si>
    <t>5140100</t>
  </si>
  <si>
    <t>3</t>
  </si>
  <si>
    <t>Обеспечение проведения выборов и референдумов</t>
  </si>
  <si>
    <t xml:space="preserve"> (расшифровка подписи)</t>
  </si>
  <si>
    <t xml:space="preserve">Главный бухгалтер __________________________                             </t>
  </si>
  <si>
    <t xml:space="preserve">                                                                      (подпись)                                            </t>
  </si>
  <si>
    <t xml:space="preserve">                                                                     (подпись)                                          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</si>
  <si>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</si>
  <si>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</si>
  <si>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>Невыясненные поступления, зачисляемые в бюджеты поселений</t>
  </si>
  <si>
    <t>301  202  03003  10  0000  151</t>
  </si>
  <si>
    <t>301  202  03015  10  0000  151</t>
  </si>
  <si>
    <t>0310</t>
  </si>
  <si>
    <t>Обеспечение пожарной безопасности</t>
  </si>
  <si>
    <t>2479900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</si>
  <si>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</si>
  <si>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</si>
  <si>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</si>
  <si>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</si>
  <si>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5129700</t>
  </si>
  <si>
    <t>0700</t>
  </si>
  <si>
    <t>Образование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</si>
  <si>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</si>
  <si>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</si>
  <si>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</si>
  <si>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000  101  02010  01  0000  110</t>
  </si>
  <si>
    <t>Налог на доходы физических лиц с доходов, полученных в виде дивидендов от долевого участия в деятельности организаций</t>
  </si>
  <si>
    <t>000  111  05035  10  0000  120</t>
  </si>
  <si>
    <t>000  108  04020  01  0000  110</t>
  </si>
  <si>
    <t>000  105  03000  01  0000  110</t>
  </si>
  <si>
    <t>Прочие субсидии бюджетам поселений (софинансирование)</t>
  </si>
  <si>
    <t>0412</t>
  </si>
  <si>
    <t>Другие вопросы в области национальной экономики</t>
  </si>
  <si>
    <t>7950000</t>
  </si>
  <si>
    <t>Доходы от продажи материальных и нематериальных активов</t>
  </si>
  <si>
    <t>000 114  00000  00 0000 000</t>
  </si>
  <si>
    <t>000  114  02000 00 0000  410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</si>
  <si>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 по указанному имуществу</t>
  </si>
  <si>
    <t>Доходы от реализации 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</si>
  <si>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301</t>
  </si>
  <si>
    <t>0303</t>
  </si>
  <si>
    <t>0401</t>
  </si>
  <si>
    <t>Прочие  услуги</t>
  </si>
  <si>
    <r>
      <t xml:space="preserve">Дотации  на выравнивание уровня бюджетной обеспеченности РФПП  </t>
    </r>
    <r>
      <rPr>
        <b/>
        <sz val="9"/>
        <rFont val="Times New Roman"/>
        <family val="1"/>
        <charset val="204"/>
      </rPr>
      <t>(район)</t>
    </r>
  </si>
  <si>
    <t xml:space="preserve">Утвержденные бюджетные назначения </t>
  </si>
  <si>
    <t>Лимиты бюджетных обязательств</t>
  </si>
  <si>
    <t>По ассигнованиям</t>
  </si>
  <si>
    <t>По лимитам бюджетных обязательств</t>
  </si>
  <si>
    <t>х</t>
  </si>
  <si>
    <t xml:space="preserve">     ГЛАВНОГО РАСПОРЯДИТЕЛЯ, РАСПОРЯДИТЕЛЯ, ПОЛУЧАТЕЛЯ БЮДЖЕТНЫХ СРЕДСТВ, ГЛАВНОГО АДМИНИСТРАТОРА, АДМИНИСТРАТОРА</t>
  </si>
  <si>
    <t xml:space="preserve">                    3. Источники финансирования дефицита бюджета</t>
  </si>
  <si>
    <t>Наименование бюджета:  бюджет Курджиновского сельского поселения</t>
  </si>
  <si>
    <t>Администрация Курджиновского сельского поселения</t>
  </si>
  <si>
    <t>Резервные Фонды местных администраций</t>
  </si>
  <si>
    <t>0700500</t>
  </si>
  <si>
    <t>Другие вопросы в области образования( МОЛОДЕЖНАЯ ПОЛИТИКА)</t>
  </si>
  <si>
    <t>Кузьменко Е.В.</t>
  </si>
  <si>
    <t>Прочие межбюджетные трансферты</t>
  </si>
  <si>
    <t>301  202  04999  10  0000  151</t>
  </si>
  <si>
    <t>Организация общественных работ</t>
  </si>
  <si>
    <t>Перечисления другим бюджетам бюджетной системы РФ</t>
  </si>
  <si>
    <t>251</t>
  </si>
  <si>
    <t>Прочие безвозмездные поступления в бюджеты поселений из бюджетов субъектов Российской Федерации</t>
  </si>
  <si>
    <t>301  202  09024  10  0000  151</t>
  </si>
  <si>
    <t>,</t>
  </si>
  <si>
    <t>-</t>
  </si>
  <si>
    <t>0111</t>
  </si>
  <si>
    <t>1101</t>
  </si>
  <si>
    <t>Другие вопросы в области жилищно- комунального хозяйства</t>
  </si>
  <si>
    <t>0505</t>
  </si>
  <si>
    <t>Возврат остатков субсидий, субвенций и иных межбюджетных трансфертов имеющих целевое назначение прошлых лет из бюджетов поселений</t>
  </si>
  <si>
    <t>301  219  05000  10  0000  151</t>
  </si>
  <si>
    <t>000 113  00000  00 0000 000</t>
  </si>
  <si>
    <t>000  113 03050 10 0000  130</t>
  </si>
  <si>
    <t>Прочие доходы от оказания платных услуг получателями средств бюджетов поселений и компесация затрат бюджетов поселений</t>
  </si>
  <si>
    <t>Доходы от оказания платных услуг</t>
  </si>
  <si>
    <t>8000000</t>
  </si>
  <si>
    <t>301  202  01003  10  0000  151</t>
  </si>
  <si>
    <t xml:space="preserve">000  200  00000  00 0000  000 </t>
  </si>
  <si>
    <t>Дотации  бюджетам поселений на поддержку мер по обеспечению сбалансированности бюджетов</t>
  </si>
  <si>
    <t>522 66 00</t>
  </si>
  <si>
    <t>0314</t>
  </si>
  <si>
    <t>2470300</t>
  </si>
  <si>
    <t>000  111  05013  10  0000  120</t>
  </si>
  <si>
    <t>121</t>
  </si>
  <si>
    <t>243</t>
  </si>
  <si>
    <t>244</t>
  </si>
  <si>
    <t>851</t>
  </si>
  <si>
    <t>852</t>
  </si>
  <si>
    <t>02000023</t>
  </si>
  <si>
    <t>870</t>
  </si>
  <si>
    <t>0302</t>
  </si>
  <si>
    <t>2026700</t>
  </si>
  <si>
    <t>Дорожное хозяйство</t>
  </si>
  <si>
    <t>0409</t>
  </si>
  <si>
    <t>3150201</t>
  </si>
  <si>
    <t>111</t>
  </si>
  <si>
    <t>112</t>
  </si>
  <si>
    <t>321</t>
  </si>
  <si>
    <t xml:space="preserve">000  101  02020  01  0000  110 </t>
  </si>
  <si>
    <t>000  106  01030  10  0000  110</t>
  </si>
  <si>
    <t>0304</t>
  </si>
  <si>
    <t xml:space="preserve"> </t>
  </si>
  <si>
    <t>Увеличение стоимости ОС.</t>
  </si>
  <si>
    <t>540</t>
  </si>
  <si>
    <t>000  101  02030  01  0000  110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</si>
  <si>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поселении( за исключением автомобильных дорог федерального значения)</t>
  </si>
  <si>
    <t>301  202  02041  10  0000  151</t>
  </si>
  <si>
    <t>3150011</t>
  </si>
  <si>
    <t>5226900</t>
  </si>
  <si>
    <t>Прочие поступления от денежных взысканий (штрафов)  иных сумм в возмещение ущерба, зачисляемые в бюджеты поселений</t>
  </si>
  <si>
    <t>000  116  90050 10  0000  140</t>
  </si>
  <si>
    <t>000  116  00000  00  0000  000</t>
  </si>
  <si>
    <t>штрафы, санкции, возмещение ущерба</t>
  </si>
  <si>
    <t>000  114  02053  10  0000  410</t>
  </si>
  <si>
    <t>122</t>
  </si>
  <si>
    <t>глава администрации</t>
  </si>
  <si>
    <t>М.Ф.Зайцев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</si>
  <si>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</si>
  <si>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</si>
  <si>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Увеличение стоимости МЗ.</t>
  </si>
  <si>
    <t>Налоги на товары(работы. Услуги), реализуемые на территории Российской Федерации</t>
  </si>
  <si>
    <t>000  103  00000  00  0000  110</t>
  </si>
  <si>
    <t>Доходы от уплаты акцизов на дизельное топливо, зачисляемые в консолидированные бюджеты субъектов РФ</t>
  </si>
  <si>
    <t>000  103  02230  01  0000  110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</si>
  <si>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</si>
  <si>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моторные масла для дизельных и (или) карбюраторных  ( инжекторных) двигателей, зачисляемые в консолидированные бюджеты субъектов РФ</t>
  </si>
  <si>
    <t>Доходы от уплаты акцизов на прямогонный  бензин, производимый на территории Российской Федерации, зачисляемые в консолидированные бюджеты субъектов РФ</t>
  </si>
  <si>
    <t>000  103  02240  01  0000  110</t>
  </si>
  <si>
    <t>000  103  02250  01  0000  110</t>
  </si>
  <si>
    <t>000  103  02260  01  0000  110</t>
  </si>
  <si>
    <t>0113</t>
  </si>
  <si>
    <t>1132100</t>
  </si>
  <si>
    <t>301  208 05000  10  0000  180</t>
  </si>
  <si>
    <t>8115930</t>
  </si>
  <si>
    <t>301  202  02077  10  0000  151</t>
  </si>
  <si>
    <t>414</t>
  </si>
  <si>
    <t>262</t>
  </si>
  <si>
    <t>000  106  06043  10  0000  110</t>
  </si>
  <si>
    <t>000  106  06033  10  0000  110</t>
  </si>
  <si>
    <t>000  106  06040  00  0000  110</t>
  </si>
  <si>
    <t>000  106  06030  00  0000  110</t>
  </si>
  <si>
    <t>9997321</t>
  </si>
  <si>
    <t>323</t>
  </si>
  <si>
    <t>9995104</t>
  </si>
  <si>
    <t>на 1 июля 2015 года</t>
  </si>
  <si>
    <t>9990301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</si>
</sst>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b/>
      <u/>
      <sz val="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"/>
      <family val="2"/>
      <charset val="204"/>
    </font>
    <font>
      <i/>
      <sz val="12"/>
      <name val="Arial Cyr"/>
      <family val="2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u/>
      <sz val="11"/>
      <name val="Arial Cyr"/>
      <charset val="204"/>
    </font>
    <font>
      <u/>
      <sz val="8"/>
      <name val="Arial CYR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i/>
      <sz val="9"/>
      <name val="Arial Cyr"/>
      <charset val="204"/>
    </font>
    <font>
      <i/>
      <sz val="10"/>
      <name val="Arial Cyr"/>
      <family val="2"/>
      <charset val="204"/>
    </font>
    <font>
      <i/>
      <sz val="9"/>
      <name val="Arial"/>
      <family val="2"/>
      <charset val="204"/>
    </font>
    <font>
      <i/>
      <sz val="9"/>
      <name val="Arial Cyr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0">
    <xf numFmtId="0" fontId="0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top"/>
    </xf>
    <xf numFmtId="0" fontId="34" fillId="0" borderId="2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29" fillId="2" borderId="2" xfId="0" applyFont="1" applyFill="1" applyBorder="1" applyAlignment="1">
      <alignment horizontal="left" vertical="center" wrapText="1"/>
    </xf>
    <xf numFmtId="0" fontId="41" fillId="0" borderId="0" xfId="0" applyFont="1" applyAlignment="1"/>
    <xf numFmtId="0" fontId="0" fillId="0" borderId="0" xfId="0" applyAlignment="1"/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wrapText="1"/>
    </xf>
    <xf numFmtId="49" fontId="47" fillId="0" borderId="0" xfId="0" applyNumberFormat="1" applyFont="1" applyBorder="1" applyAlignment="1">
      <alignment horizontal="center"/>
    </xf>
    <xf numFmtId="0" fontId="44" fillId="0" borderId="2" xfId="0" applyFont="1" applyBorder="1" applyAlignment="1">
      <alignment horizontal="left" vertical="center" wrapText="1"/>
    </xf>
    <xf numFmtId="49" fontId="40" fillId="0" borderId="2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right" vertical="top"/>
    </xf>
    <xf numFmtId="3" fontId="34" fillId="0" borderId="2" xfId="0" applyNumberFormat="1" applyFont="1" applyFill="1" applyBorder="1" applyAlignment="1" applyProtection="1">
      <alignment horizontal="center" vertical="top"/>
    </xf>
    <xf numFmtId="4" fontId="47" fillId="0" borderId="0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  <xf numFmtId="4" fontId="19" fillId="2" borderId="4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4" fontId="47" fillId="0" borderId="2" xfId="0" applyNumberFormat="1" applyFont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</xf>
    <xf numFmtId="0" fontId="55" fillId="0" borderId="2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right" vertical="center"/>
    </xf>
    <xf numFmtId="4" fontId="20" fillId="2" borderId="2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" fontId="19" fillId="2" borderId="2" xfId="0" applyNumberFormat="1" applyFont="1" applyFill="1" applyBorder="1" applyAlignment="1" applyProtection="1">
      <alignment horizontal="right" vertical="center"/>
    </xf>
    <xf numFmtId="0" fontId="24" fillId="0" borderId="2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right" vertical="center"/>
    </xf>
    <xf numFmtId="4" fontId="21" fillId="0" borderId="2" xfId="0" applyNumberFormat="1" applyFont="1" applyFill="1" applyBorder="1" applyAlignment="1" applyProtection="1">
      <alignment horizontal="righ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2" xfId="0" applyNumberFormat="1" applyFont="1" applyFill="1" applyBorder="1" applyAlignment="1" applyProtection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right" vertical="center"/>
    </xf>
    <xf numFmtId="4" fontId="21" fillId="0" borderId="5" xfId="0" applyNumberFormat="1" applyFont="1" applyFill="1" applyBorder="1" applyAlignment="1" applyProtection="1">
      <alignment horizontal="right" vertical="center"/>
    </xf>
    <xf numFmtId="4" fontId="20" fillId="0" borderId="5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49" fontId="29" fillId="2" borderId="2" xfId="0" applyNumberFormat="1" applyFont="1" applyFill="1" applyBorder="1" applyAlignment="1">
      <alignment vertical="center" wrapText="1"/>
    </xf>
    <xf numFmtId="0" fontId="26" fillId="2" borderId="2" xfId="0" applyNumberFormat="1" applyFont="1" applyFill="1" applyBorder="1" applyAlignment="1" applyProtection="1">
      <alignment horizontal="right" vertical="center"/>
    </xf>
    <xf numFmtId="0" fontId="55" fillId="0" borderId="2" xfId="0" applyFont="1" applyBorder="1" applyAlignment="1">
      <alignment vertical="center" wrapText="1"/>
    </xf>
    <xf numFmtId="0" fontId="11" fillId="0" borderId="2" xfId="0" applyNumberFormat="1" applyFont="1" applyFill="1" applyBorder="1" applyAlignment="1" applyProtection="1">
      <alignment horizontal="righ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7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29" fillId="0" borderId="2" xfId="0" applyFont="1" applyBorder="1" applyAlignment="1">
      <alignment horizontal="center" vertical="center" wrapText="1"/>
    </xf>
    <xf numFmtId="0" fontId="57" fillId="0" borderId="1" xfId="0" applyNumberFormat="1" applyFont="1" applyFill="1" applyBorder="1" applyAlignment="1" applyProtection="1">
      <alignment horizontal="lef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0" fontId="37" fillId="0" borderId="2" xfId="0" applyNumberFormat="1" applyFont="1" applyFill="1" applyBorder="1" applyAlignment="1" applyProtection="1">
      <alignment horizontal="left" vertical="center"/>
    </xf>
    <xf numFmtId="4" fontId="20" fillId="3" borderId="2" xfId="0" applyNumberFormat="1" applyFont="1" applyFill="1" applyBorder="1" applyAlignment="1" applyProtection="1">
      <alignment horizontal="right" vertical="center"/>
    </xf>
    <xf numFmtId="4" fontId="21" fillId="3" borderId="2" xfId="0" applyNumberFormat="1" applyFont="1" applyFill="1" applyBorder="1" applyAlignment="1" applyProtection="1">
      <alignment horizontal="right" vertical="center"/>
    </xf>
    <xf numFmtId="0" fontId="36" fillId="3" borderId="0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38" fillId="0" borderId="2" xfId="0" applyNumberFormat="1" applyFont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right" vertical="center"/>
    </xf>
    <xf numFmtId="4" fontId="22" fillId="0" borderId="2" xfId="0" applyNumberFormat="1" applyFont="1" applyFill="1" applyBorder="1" applyAlignment="1" applyProtection="1">
      <alignment horizontal="right" vertical="center"/>
    </xf>
    <xf numFmtId="0" fontId="38" fillId="0" borderId="2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8" fillId="3" borderId="2" xfId="0" applyFont="1" applyFill="1" applyBorder="1" applyAlignment="1">
      <alignment horizontal="center" vertical="center" wrapText="1"/>
    </xf>
    <xf numFmtId="4" fontId="22" fillId="3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29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right" vertical="center"/>
    </xf>
    <xf numFmtId="4" fontId="23" fillId="2" borderId="2" xfId="0" applyNumberFormat="1" applyFont="1" applyFill="1" applyBorder="1" applyAlignment="1" applyProtection="1">
      <alignment horizontal="right" vertical="center"/>
    </xf>
    <xf numFmtId="0" fontId="11" fillId="3" borderId="2" xfId="0" applyNumberFormat="1" applyFont="1" applyFill="1" applyBorder="1" applyAlignment="1" applyProtection="1">
      <alignment horizontal="left" vertical="center"/>
    </xf>
    <xf numFmtId="49" fontId="41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6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4" fontId="22" fillId="0" borderId="0" xfId="0" applyNumberFormat="1" applyFont="1" applyFill="1" applyBorder="1" applyAlignment="1" applyProtection="1">
      <alignment horizontal="right" vertical="center"/>
    </xf>
    <xf numFmtId="0" fontId="54" fillId="0" borderId="1" xfId="0" applyNumberFormat="1" applyFont="1" applyFill="1" applyBorder="1" applyAlignment="1" applyProtection="1">
      <alignment horizontal="center" vertical="center"/>
    </xf>
    <xf numFmtId="3" fontId="54" fillId="0" borderId="2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41" fillId="3" borderId="6" xfId="0" applyFont="1" applyFill="1" applyBorder="1" applyAlignment="1">
      <alignment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4" fontId="41" fillId="3" borderId="2" xfId="0" applyNumberFormat="1" applyFont="1" applyFill="1" applyBorder="1" applyAlignment="1">
      <alignment horizontal="right" vertical="center" wrapText="1"/>
    </xf>
    <xf numFmtId="4" fontId="46" fillId="3" borderId="2" xfId="0" applyNumberFormat="1" applyFont="1" applyFill="1" applyBorder="1" applyAlignment="1">
      <alignment horizontal="right" vertical="center" wrapText="1"/>
    </xf>
    <xf numFmtId="4" fontId="46" fillId="0" borderId="2" xfId="0" applyNumberFormat="1" applyFont="1" applyBorder="1" applyAlignment="1">
      <alignment horizontal="right" vertical="center" wrapText="1"/>
    </xf>
    <xf numFmtId="0" fontId="41" fillId="3" borderId="2" xfId="0" applyFont="1" applyFill="1" applyBorder="1" applyAlignment="1">
      <alignment vertical="center" wrapText="1"/>
    </xf>
    <xf numFmtId="4" fontId="49" fillId="0" borderId="2" xfId="0" applyNumberFormat="1" applyFont="1" applyBorder="1" applyAlignment="1">
      <alignment horizontal="right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0" fontId="44" fillId="2" borderId="2" xfId="0" applyFont="1" applyFill="1" applyBorder="1" applyAlignment="1">
      <alignment vertical="center" wrapText="1"/>
    </xf>
    <xf numFmtId="49" fontId="14" fillId="2" borderId="2" xfId="0" applyNumberFormat="1" applyFont="1" applyFill="1" applyBorder="1" applyAlignment="1" applyProtection="1">
      <alignment horizontal="center" vertical="center"/>
    </xf>
    <xf numFmtId="4" fontId="41" fillId="2" borderId="2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54" fillId="0" borderId="2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4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9" fontId="28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 horizontal="left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4" fontId="47" fillId="0" borderId="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49" fontId="47" fillId="0" borderId="2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0" fontId="58" fillId="2" borderId="10" xfId="0" applyNumberFormat="1" applyFont="1" applyFill="1" applyBorder="1" applyAlignment="1">
      <alignment horizontal="left" vertical="center" wrapText="1"/>
    </xf>
    <xf numFmtId="0" fontId="37" fillId="2" borderId="4" xfId="0" applyNumberFormat="1" applyFont="1" applyFill="1" applyBorder="1" applyAlignment="1" applyProtection="1">
      <alignment horizontal="left" vertical="center"/>
    </xf>
    <xf numFmtId="49" fontId="29" fillId="2" borderId="11" xfId="0" applyNumberFormat="1" applyFont="1" applyFill="1" applyBorder="1" applyAlignment="1">
      <alignment horizont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 applyProtection="1">
      <alignment horizontal="right" vertical="center"/>
    </xf>
    <xf numFmtId="2" fontId="30" fillId="2" borderId="11" xfId="0" applyNumberFormat="1" applyFont="1" applyFill="1" applyBorder="1" applyAlignment="1">
      <alignment wrapText="1"/>
    </xf>
    <xf numFmtId="4" fontId="25" fillId="0" borderId="2" xfId="0" applyNumberFormat="1" applyFont="1" applyFill="1" applyBorder="1" applyAlignment="1" applyProtection="1">
      <alignment horizontal="right" vertical="center"/>
    </xf>
    <xf numFmtId="0" fontId="59" fillId="2" borderId="7" xfId="0" applyNumberFormat="1" applyFont="1" applyFill="1" applyBorder="1" applyAlignment="1" applyProtection="1">
      <alignment horizontal="left" vertical="center" wrapText="1"/>
    </xf>
    <xf numFmtId="0" fontId="60" fillId="2" borderId="2" xfId="0" applyFont="1" applyFill="1" applyBorder="1" applyAlignment="1">
      <alignment vertical="center" wrapText="1"/>
    </xf>
    <xf numFmtId="4" fontId="17" fillId="3" borderId="2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50" fillId="0" borderId="0" xfId="0" applyNumberFormat="1" applyFont="1" applyFill="1" applyBorder="1" applyAlignment="1" applyProtection="1">
      <alignment vertical="center"/>
    </xf>
    <xf numFmtId="4" fontId="50" fillId="0" borderId="2" xfId="0" applyNumberFormat="1" applyFont="1" applyFill="1" applyBorder="1" applyAlignment="1" applyProtection="1">
      <alignment horizontal="righ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49" fontId="54" fillId="0" borderId="5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>
      <alignment horizontal="left" vertical="center" wrapText="1"/>
    </xf>
    <xf numFmtId="0" fontId="42" fillId="2" borderId="1" xfId="0" applyNumberFormat="1" applyFont="1" applyFill="1" applyBorder="1" applyAlignment="1" applyProtection="1">
      <alignment horizontal="left" vertical="center"/>
    </xf>
    <xf numFmtId="0" fontId="28" fillId="2" borderId="9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4" fontId="20" fillId="3" borderId="11" xfId="0" applyNumberFormat="1" applyFont="1" applyFill="1" applyBorder="1" applyAlignment="1" applyProtection="1">
      <alignment horizontal="right" vertical="center"/>
    </xf>
    <xf numFmtId="4" fontId="21" fillId="3" borderId="11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4" fontId="19" fillId="2" borderId="11" xfId="0" applyNumberFormat="1" applyFont="1" applyFill="1" applyBorder="1" applyAlignment="1" applyProtection="1">
      <alignment horizontal="right" vertical="center"/>
    </xf>
    <xf numFmtId="0" fontId="50" fillId="2" borderId="0" xfId="0" applyNumberFormat="1" applyFont="1" applyFill="1" applyBorder="1" applyAlignment="1" applyProtection="1">
      <alignment vertical="center"/>
    </xf>
    <xf numFmtId="0" fontId="41" fillId="0" borderId="0" xfId="0" applyFont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7" fillId="0" borderId="8" xfId="0" applyFont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4" fontId="17" fillId="0" borderId="1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11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</xf>
    <xf numFmtId="49" fontId="34" fillId="0" borderId="2" xfId="0" applyNumberFormat="1" applyFont="1" applyFill="1" applyBorder="1" applyAlignment="1" applyProtection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53" fillId="0" borderId="0" xfId="0" applyNumberFormat="1" applyFont="1" applyAlignment="1">
      <alignment horizontal="center"/>
    </xf>
    <xf numFmtId="49" fontId="53" fillId="0" borderId="0" xfId="0" applyNumberFormat="1" applyFont="1" applyFill="1" applyBorder="1" applyAlignment="1" applyProtection="1">
      <alignment horizontal="center" vertical="top"/>
    </xf>
    <xf numFmtId="49" fontId="16" fillId="0" borderId="11" xfId="0" applyNumberFormat="1" applyFont="1" applyFill="1" applyBorder="1" applyAlignment="1" applyProtection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/>
    </xf>
    <xf numFmtId="0" fontId="53" fillId="0" borderId="0" xfId="0" applyNumberFormat="1" applyFont="1" applyFill="1" applyBorder="1" applyAlignment="1" applyProtection="1">
      <alignment vertical="top"/>
    </xf>
    <xf numFmtId="0" fontId="31" fillId="0" borderId="0" xfId="0" applyFont="1" applyAlignment="1"/>
    <xf numFmtId="0" fontId="31" fillId="0" borderId="8" xfId="0" applyFont="1" applyBorder="1" applyAlignment="1"/>
    <xf numFmtId="0" fontId="31" fillId="0" borderId="8" xfId="0" applyFont="1" applyBorder="1" applyAlignment="1">
      <alignment horizontal="center"/>
    </xf>
    <xf numFmtId="0" fontId="31" fillId="0" borderId="8" xfId="0" applyFont="1" applyBorder="1" applyAlignment="1">
      <alignment vertical="center" wrapText="1"/>
    </xf>
    <xf numFmtId="4" fontId="31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62" fillId="0" borderId="0" xfId="0" applyNumberFormat="1" applyFont="1" applyFill="1" applyBorder="1" applyAlignment="1" applyProtection="1">
      <alignment horizontal="justify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 applyProtection="1">
      <alignment horizontal="center" vertical="center" wrapText="1"/>
    </xf>
    <xf numFmtId="4" fontId="15" fillId="0" borderId="7" xfId="0" applyNumberFormat="1" applyFont="1" applyFill="1" applyBorder="1" applyAlignment="1" applyProtection="1">
      <alignment horizontal="center" vertical="center" wrapText="1"/>
    </xf>
    <xf numFmtId="4" fontId="31" fillId="0" borderId="8" xfId="0" applyNumberFormat="1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left" vertical="center"/>
    </xf>
    <xf numFmtId="49" fontId="18" fillId="3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right" vertical="center"/>
    </xf>
    <xf numFmtId="0" fontId="64" fillId="0" borderId="2" xfId="0" applyNumberFormat="1" applyFont="1" applyFill="1" applyBorder="1" applyAlignment="1" applyProtection="1">
      <alignment vertical="top"/>
    </xf>
    <xf numFmtId="0" fontId="55" fillId="3" borderId="2" xfId="0" applyFont="1" applyFill="1" applyBorder="1" applyAlignment="1">
      <alignment vertical="center" wrapText="1"/>
    </xf>
    <xf numFmtId="0" fontId="31" fillId="0" borderId="0" xfId="0" applyFont="1" applyAlignment="1">
      <alignment horizontal="left"/>
    </xf>
    <xf numFmtId="4" fontId="21" fillId="2" borderId="2" xfId="0" applyNumberFormat="1" applyFont="1" applyFill="1" applyBorder="1" applyAlignment="1" applyProtection="1">
      <alignment horizontal="right" vertical="center"/>
    </xf>
    <xf numFmtId="4" fontId="19" fillId="3" borderId="2" xfId="0" applyNumberFormat="1" applyFont="1" applyFill="1" applyBorder="1" applyAlignment="1" applyProtection="1">
      <alignment horizontal="right" vertic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4" fontId="19" fillId="0" borderId="2" xfId="0" applyNumberFormat="1" applyFont="1" applyFill="1" applyBorder="1" applyAlignment="1" applyProtection="1">
      <alignment horizontal="center" vertical="center"/>
    </xf>
    <xf numFmtId="4" fontId="17" fillId="0" borderId="2" xfId="0" applyNumberFormat="1" applyFont="1" applyFill="1" applyBorder="1" applyAlignment="1" applyProtection="1">
      <alignment horizontal="center" vertical="center"/>
    </xf>
    <xf numFmtId="4" fontId="41" fillId="3" borderId="2" xfId="0" applyNumberFormat="1" applyFont="1" applyFill="1" applyBorder="1" applyAlignment="1">
      <alignment horizontal="center" vertical="center" wrapText="1"/>
    </xf>
    <xf numFmtId="4" fontId="46" fillId="3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 applyProtection="1">
      <alignment horizontal="center" vertical="center"/>
    </xf>
    <xf numFmtId="4" fontId="46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 applyProtection="1">
      <alignment horizontal="center" vertical="center"/>
    </xf>
    <xf numFmtId="4" fontId="23" fillId="3" borderId="2" xfId="0" applyNumberFormat="1" applyFont="1" applyFill="1" applyBorder="1" applyAlignment="1" applyProtection="1">
      <alignment horizontal="center" vertical="center"/>
    </xf>
    <xf numFmtId="4" fontId="23" fillId="2" borderId="2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top"/>
    </xf>
    <xf numFmtId="4" fontId="17" fillId="4" borderId="2" xfId="0" applyNumberFormat="1" applyFont="1" applyFill="1" applyBorder="1" applyAlignment="1" applyProtection="1">
      <alignment horizontal="right" vertical="center"/>
    </xf>
    <xf numFmtId="4" fontId="46" fillId="4" borderId="2" xfId="0" applyNumberFormat="1" applyFont="1" applyFill="1" applyBorder="1" applyAlignment="1">
      <alignment horizontal="right" vertical="center" wrapText="1"/>
    </xf>
    <xf numFmtId="4" fontId="22" fillId="4" borderId="2" xfId="0" applyNumberFormat="1" applyFont="1" applyFill="1" applyBorder="1" applyAlignment="1" applyProtection="1">
      <alignment horizontal="right" vertical="center"/>
    </xf>
    <xf numFmtId="0" fontId="28" fillId="0" borderId="18" xfId="0" applyFont="1" applyFill="1" applyBorder="1" applyAlignment="1">
      <alignment wrapText="1"/>
    </xf>
    <xf numFmtId="0" fontId="55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9" fillId="3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64" fillId="0" borderId="2" xfId="0" applyNumberFormat="1" applyFont="1" applyFill="1" applyBorder="1" applyAlignment="1" applyProtection="1">
      <alignment horizontal="left" vertical="top" wrapText="1"/>
    </xf>
    <xf numFmtId="0" fontId="66" fillId="0" borderId="0" xfId="0" applyNumberFormat="1" applyFont="1" applyFill="1" applyBorder="1" applyAlignment="1" applyProtection="1">
      <alignment vertical="top"/>
    </xf>
    <xf numFmtId="0" fontId="64" fillId="0" borderId="0" xfId="0" applyNumberFormat="1" applyFont="1" applyFill="1" applyBorder="1" applyAlignment="1" applyProtection="1">
      <alignment vertical="top" wrapText="1"/>
    </xf>
    <xf numFmtId="0" fontId="29" fillId="0" borderId="2" xfId="0" applyFont="1" applyBorder="1" applyAlignment="1">
      <alignment horizontal="left" vertical="center" wrapText="1"/>
    </xf>
    <xf numFmtId="4" fontId="25" fillId="0" borderId="10" xfId="0" applyNumberFormat="1" applyFont="1" applyFill="1" applyBorder="1" applyAlignment="1" applyProtection="1">
      <alignment horizontal="center" vertical="center" wrapText="1"/>
    </xf>
    <xf numFmtId="4" fontId="25" fillId="0" borderId="19" xfId="0" applyNumberFormat="1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7" fillId="0" borderId="20" xfId="0" applyNumberFormat="1" applyFont="1" applyFill="1" applyBorder="1" applyAlignment="1" applyProtection="1">
      <alignment horizontal="center" vertical="center" wrapText="1"/>
    </xf>
    <xf numFmtId="4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</xf>
    <xf numFmtId="0" fontId="43" fillId="0" borderId="8" xfId="0" applyNumberFormat="1" applyFont="1" applyFill="1" applyBorder="1" applyAlignment="1" applyProtection="1">
      <alignment horizontal="center" vertical="top"/>
    </xf>
    <xf numFmtId="0" fontId="61" fillId="0" borderId="8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5" fillId="0" borderId="2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left"/>
    </xf>
    <xf numFmtId="4" fontId="47" fillId="0" borderId="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4" fontId="46" fillId="0" borderId="2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zoomScale="80" zoomScaleNormal="80" zoomScaleSheetLayoutView="80" workbookViewId="0">
      <pane xSplit="3" ySplit="13" topLeftCell="D56" activePane="bottomRight" state="frozen"/>
      <selection pane="topRight" activeCell="D1" sqref="D1"/>
      <selection pane="bottomLeft" activeCell="A14" sqref="A14"/>
      <selection pane="bottomRight" activeCell="D76" sqref="D76"/>
    </sheetView>
  </sheetViews>
  <sheetFormatPr defaultRowHeight="12.75" x14ac:dyDescent="0.2"/>
  <cols>
    <col min="1" max="1" width="77.5703125" style="9" customWidth="1"/>
    <col min="2" max="2" width="5.140625" style="9" customWidth="1"/>
    <col min="3" max="3" width="34.85546875" style="10" customWidth="1"/>
    <col min="4" max="4" width="16.28515625" style="31" customWidth="1"/>
    <col min="5" max="5" width="15" style="31" customWidth="1"/>
    <col min="6" max="6" width="13" style="31" customWidth="1"/>
    <col min="7" max="7" width="10.140625" style="31" customWidth="1"/>
    <col min="8" max="8" width="17.5703125" style="31" customWidth="1"/>
    <col min="9" max="9" width="18" style="31" customWidth="1"/>
    <col min="10" max="16384" width="9.140625" style="9"/>
  </cols>
  <sheetData>
    <row r="1" spans="1:10" s="20" customFormat="1" ht="15" x14ac:dyDescent="0.25">
      <c r="A1" s="276" t="s">
        <v>82</v>
      </c>
      <c r="B1" s="276"/>
      <c r="C1" s="276"/>
      <c r="D1" s="276"/>
      <c r="E1" s="276"/>
      <c r="F1" s="276"/>
      <c r="G1" s="276"/>
      <c r="H1" s="276"/>
      <c r="I1" s="19"/>
      <c r="J1" s="19"/>
    </row>
    <row r="2" spans="1:10" s="20" customFormat="1" ht="15" x14ac:dyDescent="0.25">
      <c r="A2" s="276" t="s">
        <v>255</v>
      </c>
      <c r="B2" s="276"/>
      <c r="C2" s="276"/>
      <c r="D2" s="276"/>
      <c r="E2" s="276"/>
      <c r="F2" s="276"/>
      <c r="G2" s="276"/>
      <c r="H2" s="276"/>
      <c r="I2" s="276"/>
      <c r="J2" s="19"/>
    </row>
    <row r="3" spans="1:10" s="20" customFormat="1" ht="15" x14ac:dyDescent="0.25">
      <c r="A3" s="276" t="s">
        <v>135</v>
      </c>
      <c r="B3" s="276"/>
      <c r="C3" s="276"/>
      <c r="D3" s="276"/>
      <c r="E3" s="276"/>
      <c r="F3" s="276"/>
      <c r="G3" s="276"/>
      <c r="H3" s="276"/>
      <c r="I3" s="276"/>
      <c r="J3" s="19"/>
    </row>
    <row r="4" spans="1:10" s="20" customFormat="1" ht="15.75" thickBot="1" x14ac:dyDescent="0.3">
      <c r="A4" s="19"/>
      <c r="B4" s="178"/>
      <c r="C4" s="276" t="s">
        <v>351</v>
      </c>
      <c r="D4" s="276"/>
      <c r="E4" s="19"/>
      <c r="F4" s="19"/>
      <c r="G4" s="19"/>
      <c r="H4" s="19"/>
      <c r="I4" s="181" t="s">
        <v>53</v>
      </c>
    </row>
    <row r="5" spans="1:10" s="20" customFormat="1" x14ac:dyDescent="0.2">
      <c r="A5" s="22"/>
      <c r="B5" s="22"/>
      <c r="C5" s="22"/>
      <c r="D5" s="34"/>
      <c r="E5" s="34"/>
      <c r="F5" s="34"/>
      <c r="G5" s="34"/>
      <c r="H5" s="34" t="s">
        <v>83</v>
      </c>
      <c r="I5" s="182" t="s">
        <v>1</v>
      </c>
    </row>
    <row r="6" spans="1:10" s="20" customFormat="1" ht="34.5" x14ac:dyDescent="0.25">
      <c r="A6" s="180" t="s">
        <v>140</v>
      </c>
      <c r="B6" s="275" t="s">
        <v>258</v>
      </c>
      <c r="C6" s="275"/>
      <c r="D6" s="275"/>
      <c r="E6" s="275"/>
      <c r="F6" s="275"/>
      <c r="G6" s="275"/>
      <c r="H6" s="275"/>
      <c r="I6" s="183"/>
    </row>
    <row r="7" spans="1:10" s="20" customFormat="1" x14ac:dyDescent="0.2">
      <c r="A7" s="22" t="s">
        <v>257</v>
      </c>
      <c r="B7" s="22"/>
      <c r="C7" s="22"/>
      <c r="D7" s="34"/>
      <c r="E7" s="34"/>
      <c r="F7" s="34"/>
      <c r="G7" s="34"/>
      <c r="H7" s="33"/>
      <c r="I7" s="183"/>
    </row>
    <row r="8" spans="1:10" s="20" customFormat="1" ht="15" x14ac:dyDescent="0.25">
      <c r="A8" s="22" t="s">
        <v>85</v>
      </c>
      <c r="B8" s="22"/>
      <c r="C8" s="22"/>
      <c r="D8" s="34"/>
      <c r="E8" s="34"/>
      <c r="F8" s="34"/>
      <c r="G8" s="34"/>
      <c r="H8" s="33"/>
      <c r="I8" s="184"/>
    </row>
    <row r="9" spans="1:10" s="20" customFormat="1" ht="13.5" thickBot="1" x14ac:dyDescent="0.25">
      <c r="A9" s="22" t="s">
        <v>84</v>
      </c>
      <c r="B9" s="22"/>
      <c r="C9" s="22"/>
      <c r="D9" s="34"/>
      <c r="E9" s="34"/>
      <c r="F9" s="34"/>
      <c r="G9" s="34"/>
      <c r="H9" s="33"/>
      <c r="I9" s="185" t="s">
        <v>2</v>
      </c>
    </row>
    <row r="10" spans="1:10" ht="18" x14ac:dyDescent="0.2">
      <c r="A10" s="274" t="s">
        <v>0</v>
      </c>
      <c r="B10" s="274"/>
      <c r="C10" s="274"/>
    </row>
    <row r="11" spans="1:10" s="6" customFormat="1" ht="14.25" customHeight="1" x14ac:dyDescent="0.2">
      <c r="A11" s="270" t="s">
        <v>4</v>
      </c>
      <c r="B11" s="264" t="s">
        <v>3</v>
      </c>
      <c r="C11" s="272" t="s">
        <v>141</v>
      </c>
      <c r="D11" s="260" t="s">
        <v>250</v>
      </c>
      <c r="E11" s="268" t="s">
        <v>15</v>
      </c>
      <c r="F11" s="269"/>
      <c r="G11" s="269"/>
      <c r="H11" s="266"/>
      <c r="I11" s="266" t="s">
        <v>16</v>
      </c>
    </row>
    <row r="12" spans="1:10" s="6" customFormat="1" ht="75" customHeight="1" x14ac:dyDescent="0.2">
      <c r="A12" s="271"/>
      <c r="B12" s="265"/>
      <c r="C12" s="273"/>
      <c r="D12" s="261"/>
      <c r="E12" s="191" t="s">
        <v>139</v>
      </c>
      <c r="F12" s="191" t="s">
        <v>5</v>
      </c>
      <c r="G12" s="191" t="s">
        <v>17</v>
      </c>
      <c r="H12" s="191" t="s">
        <v>54</v>
      </c>
      <c r="I12" s="267"/>
    </row>
    <row r="13" spans="1:10" s="17" customFormat="1" ht="15" x14ac:dyDescent="0.2">
      <c r="A13" s="15">
        <v>1</v>
      </c>
      <c r="B13" s="16">
        <v>2</v>
      </c>
      <c r="C13" s="16">
        <v>3</v>
      </c>
      <c r="D13" s="32">
        <v>4</v>
      </c>
      <c r="E13" s="32">
        <v>6</v>
      </c>
      <c r="F13" s="32">
        <v>7</v>
      </c>
      <c r="G13" s="32">
        <v>8</v>
      </c>
      <c r="H13" s="32">
        <v>9</v>
      </c>
      <c r="I13" s="32">
        <v>11</v>
      </c>
    </row>
    <row r="14" spans="1:10" s="45" customFormat="1" ht="18" x14ac:dyDescent="0.2">
      <c r="A14" s="168" t="s">
        <v>56</v>
      </c>
      <c r="B14" s="143" t="s">
        <v>57</v>
      </c>
      <c r="C14" s="217" t="s">
        <v>77</v>
      </c>
      <c r="D14" s="49">
        <f>SUM(D15+D64)</f>
        <v>12562250</v>
      </c>
      <c r="E14" s="49">
        <f>SUM(E15+E64)</f>
        <v>6405240.5199999996</v>
      </c>
      <c r="F14" s="49">
        <f>SUM(F15+F64)</f>
        <v>0</v>
      </c>
      <c r="G14" s="49">
        <f>SUM(G15+G64)</f>
        <v>0</v>
      </c>
      <c r="H14" s="228">
        <f>SUM(E14:G14)</f>
        <v>6405240.5199999996</v>
      </c>
      <c r="I14" s="49">
        <f>SUM(D14-H14)</f>
        <v>6157009.4800000004</v>
      </c>
    </row>
    <row r="15" spans="1:10" s="48" customFormat="1" ht="15.75" x14ac:dyDescent="0.2">
      <c r="A15" s="18" t="s">
        <v>105</v>
      </c>
      <c r="B15" s="46"/>
      <c r="C15" s="12" t="s">
        <v>58</v>
      </c>
      <c r="D15" s="47">
        <f>SUM(D16+D28+D30+D40+D42+D55+D58+D38+D23+D51)</f>
        <v>3874100</v>
      </c>
      <c r="E15" s="47">
        <f>SUM(E16+E28+E30+E40+E42+E51+E49+E55+E58+E38+E60+E23)</f>
        <v>1484677.52</v>
      </c>
      <c r="F15" s="47">
        <f>SUM(F16+F28+F30+F40+F42+F51+F55+F58+F38)</f>
        <v>0</v>
      </c>
      <c r="G15" s="47">
        <f>SUM(G16+G28+G30+G40+G42+G51+G55+G58+G38)</f>
        <v>0</v>
      </c>
      <c r="H15" s="228">
        <f>SUM(E15:G15)</f>
        <v>1484677.52</v>
      </c>
      <c r="I15" s="49">
        <f>SUM(D15-H15)</f>
        <v>2389422.48</v>
      </c>
    </row>
    <row r="16" spans="1:10" s="48" customFormat="1" ht="15.75" x14ac:dyDescent="0.2">
      <c r="A16" s="18" t="s">
        <v>6</v>
      </c>
      <c r="B16" s="46"/>
      <c r="C16" s="12" t="s">
        <v>59</v>
      </c>
      <c r="D16" s="49">
        <f>SUM(D17)</f>
        <v>735000</v>
      </c>
      <c r="E16" s="49">
        <f>SUM(E17)</f>
        <v>315840.48</v>
      </c>
      <c r="F16" s="49">
        <f>SUM(F17)</f>
        <v>0</v>
      </c>
      <c r="G16" s="49">
        <f>SUM(G17)</f>
        <v>0</v>
      </c>
      <c r="H16" s="228">
        <f>SUM(E16:G16)</f>
        <v>315840.48</v>
      </c>
      <c r="I16" s="49">
        <f>SUM(D16-H16)</f>
        <v>419159.52</v>
      </c>
    </row>
    <row r="17" spans="1:9" s="51" customFormat="1" ht="15.75" x14ac:dyDescent="0.2">
      <c r="A17" s="29" t="s">
        <v>107</v>
      </c>
      <c r="B17" s="50"/>
      <c r="C17" s="13" t="s">
        <v>106</v>
      </c>
      <c r="D17" s="44">
        <f>SUM(D18+D19)</f>
        <v>735000</v>
      </c>
      <c r="E17" s="44">
        <f>SUM(E18+E19+E22)</f>
        <v>315840.48</v>
      </c>
      <c r="F17" s="44">
        <f>SUM(F18+F19+F27)</f>
        <v>0</v>
      </c>
      <c r="G17" s="44">
        <f>SUM(G18+G19+G27)</f>
        <v>0</v>
      </c>
      <c r="H17" s="53">
        <f>SUM(E17:G17)</f>
        <v>315840.48</v>
      </c>
      <c r="I17" s="229">
        <f>SUM(D17-H17)</f>
        <v>419159.52</v>
      </c>
    </row>
    <row r="18" spans="1:9" s="51" customFormat="1" ht="24" x14ac:dyDescent="0.2">
      <c r="A18" s="42" t="s">
        <v>232</v>
      </c>
      <c r="B18" s="50"/>
      <c r="C18" s="14" t="s">
        <v>231</v>
      </c>
      <c r="D18" s="73"/>
      <c r="E18" s="73"/>
      <c r="F18" s="73"/>
      <c r="G18" s="73"/>
      <c r="H18" s="53">
        <f>SUM(E18:G18)</f>
        <v>0</v>
      </c>
      <c r="I18" s="229">
        <f t="shared" ref="I18:I57" si="0">SUM(D18-H18)</f>
        <v>0</v>
      </c>
    </row>
    <row r="19" spans="1:9" s="55" customFormat="1" ht="24" x14ac:dyDescent="0.2">
      <c r="A19" s="42" t="s">
        <v>110</v>
      </c>
      <c r="B19" s="52"/>
      <c r="C19" s="14" t="s">
        <v>231</v>
      </c>
      <c r="D19" s="53">
        <f>SUM(D20:D21)</f>
        <v>735000</v>
      </c>
      <c r="E19" s="53">
        <f>SUM(E20:E21)</f>
        <v>314990.61</v>
      </c>
      <c r="F19" s="53">
        <f>SUM(F20:F21)</f>
        <v>0</v>
      </c>
      <c r="G19" s="53">
        <f>SUM(G20:G21)</f>
        <v>0</v>
      </c>
      <c r="H19" s="54">
        <f t="shared" ref="H19:H37" si="1">SUM(E19:G19)</f>
        <v>314990.61</v>
      </c>
      <c r="I19" s="229">
        <f t="shared" si="0"/>
        <v>420009.39</v>
      </c>
    </row>
    <row r="20" spans="1:9" s="55" customFormat="1" ht="60" x14ac:dyDescent="0.2">
      <c r="A20" s="42" t="s">
        <v>111</v>
      </c>
      <c r="B20" s="56"/>
      <c r="C20" s="57" t="s">
        <v>231</v>
      </c>
      <c r="D20" s="53">
        <v>735000</v>
      </c>
      <c r="E20" s="53">
        <v>314990.61</v>
      </c>
      <c r="F20" s="53"/>
      <c r="G20" s="53"/>
      <c r="H20" s="53">
        <f t="shared" si="1"/>
        <v>314990.61</v>
      </c>
      <c r="I20" s="229">
        <f t="shared" si="0"/>
        <v>420009.39</v>
      </c>
    </row>
    <row r="21" spans="1:9" s="55" customFormat="1" ht="60" x14ac:dyDescent="0.2">
      <c r="A21" s="42" t="s">
        <v>112</v>
      </c>
      <c r="B21" s="52"/>
      <c r="C21" s="57" t="s">
        <v>305</v>
      </c>
      <c r="D21" s="53"/>
      <c r="E21" s="53"/>
      <c r="F21" s="53"/>
      <c r="G21" s="53"/>
      <c r="H21" s="53">
        <f t="shared" si="1"/>
        <v>0</v>
      </c>
      <c r="I21" s="229">
        <f t="shared" si="0"/>
        <v>0</v>
      </c>
    </row>
    <row r="22" spans="1:9" s="61" customFormat="1" ht="48" x14ac:dyDescent="0.2">
      <c r="A22" s="42" t="s">
        <v>113</v>
      </c>
      <c r="B22" s="58"/>
      <c r="C22" s="57" t="s">
        <v>311</v>
      </c>
      <c r="D22" s="59"/>
      <c r="E22" s="60">
        <f>734.37+115.5</f>
        <v>849.87</v>
      </c>
      <c r="F22" s="59"/>
      <c r="G22" s="59"/>
      <c r="H22" s="53">
        <f t="shared" ref="H22:H24" si="2">SUM(E22:G22)</f>
        <v>849.87</v>
      </c>
      <c r="I22" s="229">
        <f t="shared" ref="I22:I24" si="3">SUM(D22-H22)</f>
        <v>-849.87</v>
      </c>
    </row>
    <row r="23" spans="1:9" s="51" customFormat="1" ht="31.5" x14ac:dyDescent="0.2">
      <c r="A23" s="259" t="s">
        <v>327</v>
      </c>
      <c r="B23" s="50"/>
      <c r="C23" s="13" t="s">
        <v>328</v>
      </c>
      <c r="D23" s="44">
        <f>SUM(D24:D27)</f>
        <v>2612600</v>
      </c>
      <c r="E23" s="44">
        <f>SUM(E24:E27)</f>
        <v>1171839.05</v>
      </c>
      <c r="F23" s="44">
        <f>SUM(F24+F25+F33)</f>
        <v>0</v>
      </c>
      <c r="G23" s="44">
        <f>SUM(G24+G25+G33)</f>
        <v>0</v>
      </c>
      <c r="H23" s="53">
        <f>SUM(E23:G23)</f>
        <v>1171839.05</v>
      </c>
      <c r="I23" s="229">
        <f>SUM(D23-H23)</f>
        <v>1440760.95</v>
      </c>
    </row>
    <row r="24" spans="1:9" s="61" customFormat="1" ht="24" x14ac:dyDescent="0.2">
      <c r="A24" s="42" t="s">
        <v>329</v>
      </c>
      <c r="B24" s="58"/>
      <c r="C24" s="57" t="s">
        <v>330</v>
      </c>
      <c r="D24" s="59">
        <f>935000-65800</f>
        <v>869200</v>
      </c>
      <c r="E24" s="60">
        <f>354307.4+26804.58</f>
        <v>381111.98000000004</v>
      </c>
      <c r="F24" s="59"/>
      <c r="G24" s="59"/>
      <c r="H24" s="53">
        <f t="shared" si="2"/>
        <v>381111.98000000004</v>
      </c>
      <c r="I24" s="229">
        <f t="shared" si="3"/>
        <v>488088.01999999996</v>
      </c>
    </row>
    <row r="25" spans="1:9" s="61" customFormat="1" ht="36" x14ac:dyDescent="0.2">
      <c r="A25" s="42" t="s">
        <v>332</v>
      </c>
      <c r="B25" s="58"/>
      <c r="C25" s="57" t="s">
        <v>334</v>
      </c>
      <c r="D25" s="59">
        <f>24700-5900</f>
        <v>18800</v>
      </c>
      <c r="E25" s="60">
        <f>9758.54+895.31</f>
        <v>10653.85</v>
      </c>
      <c r="F25" s="59"/>
      <c r="G25" s="59"/>
      <c r="H25" s="53">
        <f t="shared" ref="H25:H26" si="4">SUM(E25:G25)</f>
        <v>10653.85</v>
      </c>
      <c r="I25" s="229">
        <f t="shared" ref="I25:I26" si="5">SUM(D25-H25)</f>
        <v>8146.15</v>
      </c>
    </row>
    <row r="26" spans="1:9" s="61" customFormat="1" ht="24" x14ac:dyDescent="0.2">
      <c r="A26" s="42" t="s">
        <v>331</v>
      </c>
      <c r="B26" s="58"/>
      <c r="C26" s="57" t="s">
        <v>335</v>
      </c>
      <c r="D26" s="59">
        <f>1773700-77100</f>
        <v>1696600</v>
      </c>
      <c r="E26" s="60">
        <f>715286.44+97416.42</f>
        <v>812702.86</v>
      </c>
      <c r="F26" s="59"/>
      <c r="G26" s="59"/>
      <c r="H26" s="53">
        <f t="shared" si="4"/>
        <v>812702.86</v>
      </c>
      <c r="I26" s="229">
        <f t="shared" si="5"/>
        <v>883897.14</v>
      </c>
    </row>
    <row r="27" spans="1:9" s="61" customFormat="1" ht="24" x14ac:dyDescent="0.2">
      <c r="A27" s="42" t="s">
        <v>333</v>
      </c>
      <c r="B27" s="58"/>
      <c r="C27" s="57" t="s">
        <v>336</v>
      </c>
      <c r="D27" s="59">
        <v>28000</v>
      </c>
      <c r="E27" s="60">
        <v>-32629.64</v>
      </c>
      <c r="F27" s="59"/>
      <c r="G27" s="59"/>
      <c r="H27" s="53">
        <v>0</v>
      </c>
      <c r="I27" s="229">
        <f t="shared" si="0"/>
        <v>28000</v>
      </c>
    </row>
    <row r="28" spans="1:9" s="55" customFormat="1" ht="15.75" x14ac:dyDescent="0.2">
      <c r="A28" s="62" t="s">
        <v>61</v>
      </c>
      <c r="B28" s="63"/>
      <c r="C28" s="12" t="s">
        <v>60</v>
      </c>
      <c r="D28" s="47">
        <f>SUM(D29)</f>
        <v>0</v>
      </c>
      <c r="E28" s="47">
        <f>SUM(E29)</f>
        <v>9817.119999999999</v>
      </c>
      <c r="F28" s="47">
        <f>SUM(F29)</f>
        <v>0</v>
      </c>
      <c r="G28" s="47">
        <f>SUM(G29)</f>
        <v>0</v>
      </c>
      <c r="H28" s="47">
        <f t="shared" si="1"/>
        <v>9817.119999999999</v>
      </c>
      <c r="I28" s="49">
        <f t="shared" si="0"/>
        <v>-9817.119999999999</v>
      </c>
    </row>
    <row r="29" spans="1:9" s="61" customFormat="1" ht="15" x14ac:dyDescent="0.2">
      <c r="A29" s="64" t="s">
        <v>7</v>
      </c>
      <c r="B29" s="65"/>
      <c r="C29" s="57" t="s">
        <v>235</v>
      </c>
      <c r="D29" s="53"/>
      <c r="E29" s="53">
        <f>7012.01+370.24+1902.4+532.47</f>
        <v>9817.119999999999</v>
      </c>
      <c r="F29" s="53"/>
      <c r="G29" s="53"/>
      <c r="H29" s="53">
        <f t="shared" si="1"/>
        <v>9817.119999999999</v>
      </c>
      <c r="I29" s="229">
        <f t="shared" si="0"/>
        <v>-9817.119999999999</v>
      </c>
    </row>
    <row r="30" spans="1:9" s="68" customFormat="1" ht="15.75" x14ac:dyDescent="0.2">
      <c r="A30" s="66" t="s">
        <v>8</v>
      </c>
      <c r="B30" s="67"/>
      <c r="C30" s="12" t="s">
        <v>62</v>
      </c>
      <c r="D30" s="49">
        <f>SUM(D31+D33)</f>
        <v>500000</v>
      </c>
      <c r="E30" s="49">
        <f>SUM(E31+E33)</f>
        <v>-33919.130000000005</v>
      </c>
      <c r="F30" s="49">
        <f>SUM(F31+F33)</f>
        <v>0</v>
      </c>
      <c r="G30" s="49">
        <f>SUM(G31+G33)</f>
        <v>0</v>
      </c>
      <c r="H30" s="49">
        <f t="shared" si="1"/>
        <v>-33919.130000000005</v>
      </c>
      <c r="I30" s="49">
        <f>SUM(D30-H30)</f>
        <v>533919.13</v>
      </c>
    </row>
    <row r="31" spans="1:9" s="68" customFormat="1" ht="15.75" x14ac:dyDescent="0.2">
      <c r="A31" s="69" t="s">
        <v>108</v>
      </c>
      <c r="B31" s="70"/>
      <c r="C31" s="71" t="s">
        <v>63</v>
      </c>
      <c r="D31" s="44">
        <f>SUM(D32)</f>
        <v>250000</v>
      </c>
      <c r="E31" s="44">
        <f>SUM(E32)</f>
        <v>23761.149999999998</v>
      </c>
      <c r="F31" s="44">
        <f>SUM(F32)</f>
        <v>0</v>
      </c>
      <c r="G31" s="44">
        <f>SUM(G32)</f>
        <v>0</v>
      </c>
      <c r="H31" s="44">
        <f t="shared" si="1"/>
        <v>23761.149999999998</v>
      </c>
      <c r="I31" s="229">
        <f t="shared" si="0"/>
        <v>226238.85</v>
      </c>
    </row>
    <row r="32" spans="1:9" s="61" customFormat="1" ht="24" x14ac:dyDescent="0.2">
      <c r="A32" s="43" t="s">
        <v>114</v>
      </c>
      <c r="B32" s="65"/>
      <c r="C32" s="57" t="s">
        <v>306</v>
      </c>
      <c r="D32" s="53">
        <v>250000</v>
      </c>
      <c r="E32" s="53">
        <f>18321.46+381+5058.69</f>
        <v>23761.149999999998</v>
      </c>
      <c r="F32" s="53"/>
      <c r="G32" s="53"/>
      <c r="H32" s="53">
        <f t="shared" si="1"/>
        <v>23761.149999999998</v>
      </c>
      <c r="I32" s="229">
        <f t="shared" si="0"/>
        <v>226238.85</v>
      </c>
    </row>
    <row r="33" spans="1:11" s="68" customFormat="1" ht="15.75" x14ac:dyDescent="0.2">
      <c r="A33" s="72" t="s">
        <v>9</v>
      </c>
      <c r="B33" s="70"/>
      <c r="C33" s="71" t="s">
        <v>64</v>
      </c>
      <c r="D33" s="44">
        <f>SUM(D34+D36)</f>
        <v>250000</v>
      </c>
      <c r="E33" s="44">
        <f>SUM(E34+E36)</f>
        <v>-57680.280000000006</v>
      </c>
      <c r="F33" s="44">
        <f>SUM(F34+F36)</f>
        <v>0</v>
      </c>
      <c r="G33" s="44">
        <f>SUM(G34+G36)</f>
        <v>0</v>
      </c>
      <c r="H33" s="44">
        <f>SUM(H34+H36)</f>
        <v>-57680.280000000006</v>
      </c>
      <c r="I33" s="229">
        <f t="shared" si="0"/>
        <v>307680.28000000003</v>
      </c>
    </row>
    <row r="34" spans="1:11" s="68" customFormat="1" ht="24" x14ac:dyDescent="0.2">
      <c r="A34" s="43" t="s">
        <v>115</v>
      </c>
      <c r="B34" s="74"/>
      <c r="C34" s="75" t="s">
        <v>346</v>
      </c>
      <c r="D34" s="44">
        <f>SUM(D35)</f>
        <v>100000</v>
      </c>
      <c r="E34" s="44">
        <f>SUM(E35)</f>
        <v>13114.96</v>
      </c>
      <c r="F34" s="44">
        <f>SUM(F35)</f>
        <v>0</v>
      </c>
      <c r="G34" s="44">
        <f>SUM(G35)</f>
        <v>0</v>
      </c>
      <c r="H34" s="44">
        <f t="shared" si="1"/>
        <v>13114.96</v>
      </c>
      <c r="I34" s="229">
        <f t="shared" si="0"/>
        <v>86885.040000000008</v>
      </c>
    </row>
    <row r="35" spans="1:11" s="61" customFormat="1" ht="36" x14ac:dyDescent="0.2">
      <c r="A35" s="43" t="s">
        <v>116</v>
      </c>
      <c r="B35" s="65"/>
      <c r="C35" s="57" t="s">
        <v>344</v>
      </c>
      <c r="D35" s="53">
        <v>100000</v>
      </c>
      <c r="E35" s="53">
        <f>12055.89+371+682.65+5.42</f>
        <v>13114.96</v>
      </c>
      <c r="F35" s="53"/>
      <c r="G35" s="53"/>
      <c r="H35" s="53">
        <f t="shared" si="1"/>
        <v>13114.96</v>
      </c>
      <c r="I35" s="229">
        <f t="shared" si="0"/>
        <v>86885.040000000008</v>
      </c>
    </row>
    <row r="36" spans="1:11" s="68" customFormat="1" ht="32.25" customHeight="1" x14ac:dyDescent="0.2">
      <c r="A36" s="43" t="s">
        <v>117</v>
      </c>
      <c r="B36" s="4"/>
      <c r="C36" s="75" t="s">
        <v>347</v>
      </c>
      <c r="D36" s="44">
        <f>SUM(D37)</f>
        <v>150000</v>
      </c>
      <c r="E36" s="44">
        <f>SUM(E37)</f>
        <v>-70795.240000000005</v>
      </c>
      <c r="F36" s="44">
        <f>SUM(F37)</f>
        <v>0</v>
      </c>
      <c r="G36" s="44">
        <f>SUM(G37)</f>
        <v>0</v>
      </c>
      <c r="H36" s="44">
        <f t="shared" si="1"/>
        <v>-70795.240000000005</v>
      </c>
      <c r="I36" s="229">
        <f t="shared" si="0"/>
        <v>220795.24</v>
      </c>
    </row>
    <row r="37" spans="1:11" s="61" customFormat="1" ht="36" x14ac:dyDescent="0.2">
      <c r="A37" s="43" t="s">
        <v>118</v>
      </c>
      <c r="B37" s="76"/>
      <c r="C37" s="57" t="s">
        <v>345</v>
      </c>
      <c r="D37" s="77">
        <v>150000</v>
      </c>
      <c r="E37" s="78">
        <f>-71441.3+646.06</f>
        <v>-70795.240000000005</v>
      </c>
      <c r="F37" s="78"/>
      <c r="G37" s="78"/>
      <c r="H37" s="78">
        <f t="shared" si="1"/>
        <v>-70795.240000000005</v>
      </c>
      <c r="I37" s="229">
        <f t="shared" si="0"/>
        <v>220795.24</v>
      </c>
      <c r="J37" s="79"/>
      <c r="K37" s="79"/>
    </row>
    <row r="38" spans="1:11" s="177" customFormat="1" ht="15.75" x14ac:dyDescent="0.25">
      <c r="A38" s="216" t="s">
        <v>214</v>
      </c>
      <c r="B38" s="175"/>
      <c r="C38" s="154" t="s">
        <v>134</v>
      </c>
      <c r="D38" s="176">
        <f>SUM(D39)</f>
        <v>26500</v>
      </c>
      <c r="E38" s="176">
        <f>SUM(E39)</f>
        <v>21300</v>
      </c>
      <c r="F38" s="176">
        <f>SUM(F39)</f>
        <v>0</v>
      </c>
      <c r="G38" s="176">
        <f>SUM(G39)</f>
        <v>0</v>
      </c>
      <c r="H38" s="176">
        <f>SUM(H39)</f>
        <v>21300</v>
      </c>
      <c r="I38" s="49">
        <f>SUM(D38-H38)</f>
        <v>5200</v>
      </c>
    </row>
    <row r="39" spans="1:11" s="61" customFormat="1" ht="38.25" customHeight="1" x14ac:dyDescent="0.2">
      <c r="A39" s="215" t="s">
        <v>213</v>
      </c>
      <c r="B39" s="172"/>
      <c r="C39" s="57" t="s">
        <v>234</v>
      </c>
      <c r="D39" s="173">
        <v>26500</v>
      </c>
      <c r="E39" s="173">
        <v>21300</v>
      </c>
      <c r="F39" s="174"/>
      <c r="G39" s="174"/>
      <c r="H39" s="78">
        <f>SUM(E39)</f>
        <v>21300</v>
      </c>
      <c r="I39" s="229">
        <f t="shared" si="0"/>
        <v>5200</v>
      </c>
      <c r="J39" s="79"/>
      <c r="K39" s="79"/>
    </row>
    <row r="40" spans="1:11" s="61" customFormat="1" ht="24" x14ac:dyDescent="0.25">
      <c r="A40" s="152" t="s">
        <v>130</v>
      </c>
      <c r="B40" s="153"/>
      <c r="C40" s="154" t="s">
        <v>128</v>
      </c>
      <c r="D40" s="157">
        <f>SUM(D41)</f>
        <v>0</v>
      </c>
      <c r="E40" s="157">
        <f>SUM(E41)</f>
        <v>0</v>
      </c>
      <c r="F40" s="157">
        <f>SUM(F41)</f>
        <v>0</v>
      </c>
      <c r="G40" s="157">
        <f>SUM(G41)</f>
        <v>0</v>
      </c>
      <c r="H40" s="157">
        <f>SUM(H41)</f>
        <v>0</v>
      </c>
      <c r="I40" s="49">
        <f>SUM(D40-H40)</f>
        <v>0</v>
      </c>
      <c r="J40" s="79"/>
      <c r="K40" s="79"/>
    </row>
    <row r="41" spans="1:11" s="61" customFormat="1" ht="24" x14ac:dyDescent="0.2">
      <c r="A41" s="43" t="s">
        <v>131</v>
      </c>
      <c r="B41" s="76"/>
      <c r="C41" s="30" t="s">
        <v>129</v>
      </c>
      <c r="D41" s="77"/>
      <c r="E41" s="161"/>
      <c r="F41" s="78"/>
      <c r="G41" s="78"/>
      <c r="H41" s="78">
        <f>SUM(E41:G41)</f>
        <v>0</v>
      </c>
      <c r="I41" s="229">
        <f t="shared" si="0"/>
        <v>0</v>
      </c>
      <c r="J41" s="79"/>
      <c r="K41" s="79"/>
    </row>
    <row r="42" spans="1:11" s="45" customFormat="1" ht="24" x14ac:dyDescent="0.2">
      <c r="A42" s="159" t="s">
        <v>10</v>
      </c>
      <c r="B42" s="80"/>
      <c r="C42" s="155" t="s">
        <v>65</v>
      </c>
      <c r="D42" s="35">
        <f>SUM(D43+D46)</f>
        <v>0</v>
      </c>
      <c r="E42" s="35">
        <f>SUM(E43+E46)</f>
        <v>0</v>
      </c>
      <c r="F42" s="35">
        <f>SUM(F43+F46)</f>
        <v>0</v>
      </c>
      <c r="G42" s="35">
        <f>SUM(G43+G46)</f>
        <v>0</v>
      </c>
      <c r="H42" s="156">
        <f>SUM(E42:G42)</f>
        <v>0</v>
      </c>
      <c r="I42" s="49">
        <f>SUM(D42-H42)</f>
        <v>0</v>
      </c>
    </row>
    <row r="43" spans="1:11" s="45" customFormat="1" ht="48" x14ac:dyDescent="0.2">
      <c r="A43" s="42" t="s">
        <v>119</v>
      </c>
      <c r="B43" s="81"/>
      <c r="C43" s="13" t="s">
        <v>66</v>
      </c>
      <c r="D43" s="36">
        <f>SUM(D44:D45)</f>
        <v>0</v>
      </c>
      <c r="E43" s="36">
        <f>SUM(E44:E45)</f>
        <v>0</v>
      </c>
      <c r="F43" s="36">
        <f>SUM(F44:F45)</f>
        <v>0</v>
      </c>
      <c r="G43" s="36">
        <f>SUM(G44:G45)</f>
        <v>0</v>
      </c>
      <c r="H43" s="54">
        <f>SUM(E43:G43)</f>
        <v>0</v>
      </c>
      <c r="I43" s="229">
        <f t="shared" si="0"/>
        <v>0</v>
      </c>
    </row>
    <row r="44" spans="1:11" s="68" customFormat="1" ht="48" x14ac:dyDescent="0.2">
      <c r="A44" s="42" t="s">
        <v>120</v>
      </c>
      <c r="B44" s="82"/>
      <c r="C44" s="83" t="s">
        <v>289</v>
      </c>
      <c r="D44" s="73">
        <v>0</v>
      </c>
      <c r="E44" s="84"/>
      <c r="F44" s="85"/>
      <c r="G44" s="85"/>
      <c r="H44" s="73">
        <f t="shared" ref="H44:H62" si="6">SUM(E44:G44)</f>
        <v>0</v>
      </c>
      <c r="I44" s="229">
        <f t="shared" si="0"/>
        <v>0</v>
      </c>
    </row>
    <row r="45" spans="1:11" s="68" customFormat="1" ht="36" x14ac:dyDescent="0.2">
      <c r="A45" s="42" t="s">
        <v>121</v>
      </c>
      <c r="B45" s="4"/>
      <c r="C45" s="86" t="s">
        <v>233</v>
      </c>
      <c r="D45" s="73"/>
      <c r="E45" s="85"/>
      <c r="F45" s="85"/>
      <c r="G45" s="85"/>
      <c r="H45" s="73">
        <f t="shared" si="6"/>
        <v>0</v>
      </c>
      <c r="I45" s="229">
        <f t="shared" si="0"/>
        <v>0</v>
      </c>
    </row>
    <row r="46" spans="1:11" s="68" customFormat="1" ht="48" x14ac:dyDescent="0.2">
      <c r="A46" s="42" t="s">
        <v>122</v>
      </c>
      <c r="B46" s="82"/>
      <c r="C46" s="71" t="s">
        <v>67</v>
      </c>
      <c r="D46" s="84">
        <f>SUM(D47)</f>
        <v>0</v>
      </c>
      <c r="E46" s="84">
        <f t="shared" ref="E46:G47" si="7">SUM(E47)</f>
        <v>0</v>
      </c>
      <c r="F46" s="84">
        <f t="shared" si="7"/>
        <v>0</v>
      </c>
      <c r="G46" s="84">
        <f t="shared" si="7"/>
        <v>0</v>
      </c>
      <c r="H46" s="84">
        <f t="shared" si="6"/>
        <v>0</v>
      </c>
      <c r="I46" s="229">
        <f t="shared" si="0"/>
        <v>0</v>
      </c>
    </row>
    <row r="47" spans="1:11" s="68" customFormat="1" ht="48" x14ac:dyDescent="0.2">
      <c r="A47" s="42" t="s">
        <v>123</v>
      </c>
      <c r="B47" s="4"/>
      <c r="C47" s="75" t="s">
        <v>68</v>
      </c>
      <c r="D47" s="85">
        <f>SUM(D48)</f>
        <v>0</v>
      </c>
      <c r="E47" s="85">
        <f t="shared" si="7"/>
        <v>0</v>
      </c>
      <c r="F47" s="85">
        <f t="shared" si="7"/>
        <v>0</v>
      </c>
      <c r="G47" s="85">
        <f t="shared" si="7"/>
        <v>0</v>
      </c>
      <c r="H47" s="84">
        <f t="shared" si="6"/>
        <v>0</v>
      </c>
      <c r="I47" s="229">
        <f t="shared" si="0"/>
        <v>0</v>
      </c>
    </row>
    <row r="48" spans="1:11" s="90" customFormat="1" ht="36" x14ac:dyDescent="0.2">
      <c r="A48" s="42" t="s">
        <v>124</v>
      </c>
      <c r="B48" s="87"/>
      <c r="C48" s="88" t="s">
        <v>69</v>
      </c>
      <c r="D48" s="89"/>
      <c r="E48" s="89"/>
      <c r="F48" s="89"/>
      <c r="G48" s="89"/>
      <c r="H48" s="161">
        <f t="shared" si="6"/>
        <v>0</v>
      </c>
      <c r="I48" s="229">
        <f t="shared" si="0"/>
        <v>0</v>
      </c>
    </row>
    <row r="49" spans="1:9" s="68" customFormat="1" ht="15.75" x14ac:dyDescent="0.2">
      <c r="A49" s="91" t="s">
        <v>281</v>
      </c>
      <c r="B49" s="92"/>
      <c r="C49" s="93" t="s">
        <v>278</v>
      </c>
      <c r="D49" s="94">
        <f>SUM(D50)</f>
        <v>0</v>
      </c>
      <c r="E49" s="44">
        <f>SUM(E50)</f>
        <v>0</v>
      </c>
      <c r="F49" s="94">
        <f>SUM(F50)</f>
        <v>0</v>
      </c>
      <c r="G49" s="94">
        <f>SUM(G50)</f>
        <v>0</v>
      </c>
      <c r="H49" s="95">
        <f t="shared" ref="H49:H54" si="8">SUM(E49:G49)</f>
        <v>0</v>
      </c>
      <c r="I49" s="49">
        <f>SUM(D49-H49)</f>
        <v>0</v>
      </c>
    </row>
    <row r="50" spans="1:9" s="68" customFormat="1" ht="24" x14ac:dyDescent="0.2">
      <c r="A50" s="42" t="s">
        <v>280</v>
      </c>
      <c r="B50" s="4"/>
      <c r="C50" s="71" t="s">
        <v>279</v>
      </c>
      <c r="D50" s="44"/>
      <c r="E50" s="44"/>
      <c r="F50" s="44">
        <f t="shared" ref="F50:G52" si="9">SUM(F51)</f>
        <v>0</v>
      </c>
      <c r="G50" s="44">
        <f t="shared" si="9"/>
        <v>0</v>
      </c>
      <c r="H50" s="84">
        <f t="shared" si="8"/>
        <v>0</v>
      </c>
      <c r="I50" s="229">
        <f>SUM(D50-H50)</f>
        <v>0</v>
      </c>
    </row>
    <row r="51" spans="1:9" s="68" customFormat="1" ht="15.75" x14ac:dyDescent="0.2">
      <c r="A51" s="91" t="s">
        <v>240</v>
      </c>
      <c r="B51" s="92"/>
      <c r="C51" s="93" t="s">
        <v>241</v>
      </c>
      <c r="D51" s="94">
        <f>SUM(D52)</f>
        <v>0</v>
      </c>
      <c r="E51" s="44">
        <f>SUM(E53:E54)</f>
        <v>0</v>
      </c>
      <c r="F51" s="94">
        <f t="shared" si="9"/>
        <v>0</v>
      </c>
      <c r="G51" s="94">
        <f t="shared" si="9"/>
        <v>0</v>
      </c>
      <c r="H51" s="95">
        <f t="shared" si="8"/>
        <v>0</v>
      </c>
      <c r="I51" s="49">
        <f>SUM(D51-H51)</f>
        <v>0</v>
      </c>
    </row>
    <row r="52" spans="1:9" s="68" customFormat="1" ht="48" x14ac:dyDescent="0.2">
      <c r="A52" s="42" t="s">
        <v>244</v>
      </c>
      <c r="B52" s="4"/>
      <c r="C52" s="71" t="s">
        <v>242</v>
      </c>
      <c r="D52" s="44">
        <f>SUM(D53+D54)</f>
        <v>0</v>
      </c>
      <c r="E52" s="44"/>
      <c r="F52" s="44">
        <f t="shared" si="9"/>
        <v>0</v>
      </c>
      <c r="G52" s="44">
        <f t="shared" si="9"/>
        <v>0</v>
      </c>
      <c r="H52" s="84">
        <f t="shared" si="8"/>
        <v>0</v>
      </c>
      <c r="I52" s="229">
        <f t="shared" si="0"/>
        <v>0</v>
      </c>
    </row>
    <row r="53" spans="1:9" s="68" customFormat="1" ht="48" x14ac:dyDescent="0.2">
      <c r="A53" s="42" t="s">
        <v>243</v>
      </c>
      <c r="B53" s="96"/>
      <c r="C53" s="57" t="s">
        <v>320</v>
      </c>
      <c r="D53" s="73"/>
      <c r="E53" s="73"/>
      <c r="F53" s="85"/>
      <c r="G53" s="85"/>
      <c r="H53" s="73">
        <f t="shared" si="8"/>
        <v>0</v>
      </c>
      <c r="I53" s="229">
        <f>SUM(D53-H53)</f>
        <v>0</v>
      </c>
    </row>
    <row r="54" spans="1:9" s="68" customFormat="1" ht="29.25" customHeight="1" x14ac:dyDescent="0.2">
      <c r="A54" s="258" t="s">
        <v>324</v>
      </c>
      <c r="B54" s="96"/>
      <c r="C54" s="57" t="s">
        <v>325</v>
      </c>
      <c r="D54" s="73"/>
      <c r="E54" s="73"/>
      <c r="F54" s="85"/>
      <c r="G54" s="85"/>
      <c r="H54" s="73">
        <f t="shared" si="8"/>
        <v>0</v>
      </c>
      <c r="I54" s="229">
        <f>SUM(D54-H54)</f>
        <v>0</v>
      </c>
    </row>
    <row r="55" spans="1:9" s="68" customFormat="1" ht="15.75" x14ac:dyDescent="0.2">
      <c r="A55" s="91" t="s">
        <v>11</v>
      </c>
      <c r="B55" s="92"/>
      <c r="C55" s="93" t="s">
        <v>70</v>
      </c>
      <c r="D55" s="94">
        <f>SUM(D56)</f>
        <v>0</v>
      </c>
      <c r="E55" s="94">
        <f t="shared" ref="E55:G56" si="10">SUM(E56)</f>
        <v>0</v>
      </c>
      <c r="F55" s="94">
        <f t="shared" si="10"/>
        <v>0</v>
      </c>
      <c r="G55" s="94">
        <f t="shared" si="10"/>
        <v>0</v>
      </c>
      <c r="H55" s="95">
        <f t="shared" si="6"/>
        <v>0</v>
      </c>
      <c r="I55" s="49">
        <f>SUM(D55-H55)</f>
        <v>0</v>
      </c>
    </row>
    <row r="56" spans="1:9" s="68" customFormat="1" ht="24" x14ac:dyDescent="0.2">
      <c r="A56" s="42" t="s">
        <v>125</v>
      </c>
      <c r="B56" s="4"/>
      <c r="C56" s="71" t="s">
        <v>71</v>
      </c>
      <c r="D56" s="44">
        <f>SUM(D57)</f>
        <v>0</v>
      </c>
      <c r="E56" s="44">
        <f t="shared" si="10"/>
        <v>0</v>
      </c>
      <c r="F56" s="44">
        <f t="shared" si="10"/>
        <v>0</v>
      </c>
      <c r="G56" s="44">
        <f t="shared" si="10"/>
        <v>0</v>
      </c>
      <c r="H56" s="84">
        <f t="shared" si="6"/>
        <v>0</v>
      </c>
      <c r="I56" s="229">
        <f t="shared" si="0"/>
        <v>0</v>
      </c>
    </row>
    <row r="57" spans="1:9" s="68" customFormat="1" ht="24.75" customHeight="1" x14ac:dyDescent="0.2">
      <c r="A57" s="42" t="s">
        <v>126</v>
      </c>
      <c r="B57" s="96"/>
      <c r="C57" s="57" t="s">
        <v>72</v>
      </c>
      <c r="D57" s="73"/>
      <c r="E57" s="73"/>
      <c r="F57" s="85"/>
      <c r="G57" s="85"/>
      <c r="H57" s="73">
        <f t="shared" si="6"/>
        <v>0</v>
      </c>
      <c r="I57" s="229">
        <f t="shared" si="0"/>
        <v>0</v>
      </c>
    </row>
    <row r="58" spans="1:9" s="68" customFormat="1" ht="18.75" x14ac:dyDescent="0.2">
      <c r="A58" s="257" t="s">
        <v>319</v>
      </c>
      <c r="B58" s="98"/>
      <c r="C58" s="12" t="s">
        <v>318</v>
      </c>
      <c r="D58" s="95">
        <f>SUM(D59:D59)</f>
        <v>0</v>
      </c>
      <c r="E58" s="95">
        <f>SUM(E59:E59)</f>
        <v>0</v>
      </c>
      <c r="F58" s="95">
        <f>SUM(F59:F59)</f>
        <v>0</v>
      </c>
      <c r="G58" s="95">
        <f>SUM(G59:G59)</f>
        <v>0</v>
      </c>
      <c r="H58" s="95">
        <f>SUM(E58:G58)</f>
        <v>0</v>
      </c>
      <c r="I58" s="49">
        <f>SUM(D58-H58)</f>
        <v>0</v>
      </c>
    </row>
    <row r="59" spans="1:9" s="68" customFormat="1" ht="30" x14ac:dyDescent="0.2">
      <c r="A59" s="97" t="s">
        <v>316</v>
      </c>
      <c r="B59" s="4"/>
      <c r="C59" s="83" t="s">
        <v>317</v>
      </c>
      <c r="D59" s="85"/>
      <c r="E59" s="85"/>
      <c r="F59" s="85"/>
      <c r="G59" s="73"/>
      <c r="H59" s="73">
        <f>SUM(E59:G59)</f>
        <v>0</v>
      </c>
      <c r="I59" s="229">
        <f>SUM(D59-H59)</f>
        <v>0</v>
      </c>
    </row>
    <row r="60" spans="1:9" s="68" customFormat="1" ht="15.75" x14ac:dyDescent="0.2">
      <c r="A60" s="97" t="s">
        <v>74</v>
      </c>
      <c r="B60" s="98"/>
      <c r="C60" s="12" t="s">
        <v>73</v>
      </c>
      <c r="D60" s="95">
        <f>SUM(D61:D62)</f>
        <v>0</v>
      </c>
      <c r="E60" s="95">
        <f>SUM(E61:E62)</f>
        <v>-200</v>
      </c>
      <c r="F60" s="95">
        <f>SUM(F61:F62)</f>
        <v>0</v>
      </c>
      <c r="G60" s="95">
        <f>SUM(G61:G62)</f>
        <v>0</v>
      </c>
      <c r="H60" s="95">
        <f t="shared" si="6"/>
        <v>-200</v>
      </c>
      <c r="I60" s="49">
        <f>SUM(D60-H60)</f>
        <v>200</v>
      </c>
    </row>
    <row r="61" spans="1:9" s="68" customFormat="1" ht="15" x14ac:dyDescent="0.2">
      <c r="A61" s="221" t="s">
        <v>215</v>
      </c>
      <c r="B61" s="4"/>
      <c r="C61" s="83" t="s">
        <v>133</v>
      </c>
      <c r="D61" s="85"/>
      <c r="E61" s="85">
        <v>-200</v>
      </c>
      <c r="F61" s="85"/>
      <c r="G61" s="73"/>
      <c r="H61" s="73">
        <f t="shared" si="6"/>
        <v>-200</v>
      </c>
      <c r="I61" s="229">
        <f>SUM(D61-H61)</f>
        <v>200</v>
      </c>
    </row>
    <row r="62" spans="1:9" s="68" customFormat="1" ht="15" x14ac:dyDescent="0.2">
      <c r="A62" s="99" t="s">
        <v>109</v>
      </c>
      <c r="B62" s="58"/>
      <c r="C62" s="57" t="s">
        <v>75</v>
      </c>
      <c r="D62" s="84"/>
      <c r="E62" s="85"/>
      <c r="F62" s="85"/>
      <c r="G62" s="73"/>
      <c r="H62" s="73">
        <f t="shared" si="6"/>
        <v>0</v>
      </c>
      <c r="I62" s="229">
        <f>SUM(D62-H62)</f>
        <v>0</v>
      </c>
    </row>
    <row r="63" spans="1:9" s="68" customFormat="1" ht="18" x14ac:dyDescent="0.2">
      <c r="A63" s="262" t="s">
        <v>76</v>
      </c>
      <c r="B63" s="263"/>
      <c r="C63" s="101"/>
      <c r="D63" s="95">
        <f>SUM(D15)</f>
        <v>3874100</v>
      </c>
      <c r="E63" s="95">
        <f>SUM(E15)</f>
        <v>1484677.52</v>
      </c>
      <c r="F63" s="95">
        <f>SUM(F15)</f>
        <v>0</v>
      </c>
      <c r="G63" s="95">
        <f>SUM(G15)</f>
        <v>0</v>
      </c>
      <c r="H63" s="95">
        <f>SUM(E63:G63)</f>
        <v>1484677.52</v>
      </c>
      <c r="I63" s="49">
        <f t="shared" ref="I63:I66" si="11">SUM(D63-H63)</f>
        <v>2389422.48</v>
      </c>
    </row>
    <row r="64" spans="1:9" s="68" customFormat="1" ht="18" x14ac:dyDescent="0.2">
      <c r="A64" s="160" t="s">
        <v>12</v>
      </c>
      <c r="B64" s="100"/>
      <c r="C64" s="93" t="s">
        <v>284</v>
      </c>
      <c r="D64" s="95">
        <f>SUM(D65:D72)</f>
        <v>8688150</v>
      </c>
      <c r="E64" s="95">
        <f>SUM(E65:E74)</f>
        <v>4920563</v>
      </c>
      <c r="F64" s="95">
        <f>SUM(F65:F72)</f>
        <v>0</v>
      </c>
      <c r="G64" s="95">
        <f>SUM(G65:G72)</f>
        <v>0</v>
      </c>
      <c r="H64" s="95">
        <f>SUM(H65:H72)</f>
        <v>4920563</v>
      </c>
      <c r="I64" s="49">
        <f t="shared" si="11"/>
        <v>3767587</v>
      </c>
    </row>
    <row r="65" spans="1:9" s="68" customFormat="1" ht="21.75" customHeight="1" x14ac:dyDescent="0.2">
      <c r="A65" s="225" t="s">
        <v>249</v>
      </c>
      <c r="B65" s="70"/>
      <c r="C65" s="102" t="s">
        <v>138</v>
      </c>
      <c r="D65" s="73">
        <v>7800300</v>
      </c>
      <c r="E65" s="73">
        <v>4140150</v>
      </c>
      <c r="F65" s="73"/>
      <c r="G65" s="73"/>
      <c r="H65" s="73">
        <f>SUM(E65:G65)</f>
        <v>4140150</v>
      </c>
      <c r="I65" s="229">
        <f t="shared" si="11"/>
        <v>3660150</v>
      </c>
    </row>
    <row r="66" spans="1:9" s="68" customFormat="1" ht="21.75" customHeight="1" x14ac:dyDescent="0.2">
      <c r="A66" s="225" t="s">
        <v>285</v>
      </c>
      <c r="B66" s="70"/>
      <c r="C66" s="102" t="s">
        <v>283</v>
      </c>
      <c r="D66" s="73"/>
      <c r="E66" s="73"/>
      <c r="F66" s="73"/>
      <c r="G66" s="73"/>
      <c r="H66" s="73">
        <f t="shared" ref="H66:H72" si="12">SUM(E66:G66)</f>
        <v>0</v>
      </c>
      <c r="I66" s="229">
        <f t="shared" si="11"/>
        <v>0</v>
      </c>
    </row>
    <row r="67" spans="1:9" s="68" customFormat="1" ht="39" customHeight="1" x14ac:dyDescent="0.2">
      <c r="A67" s="256" t="s">
        <v>312</v>
      </c>
      <c r="B67" s="70"/>
      <c r="C67" s="102" t="s">
        <v>313</v>
      </c>
      <c r="D67" s="73"/>
      <c r="F67" s="73"/>
      <c r="G67" s="73"/>
      <c r="H67" s="73"/>
      <c r="I67" s="229"/>
    </row>
    <row r="68" spans="1:9" s="68" customFormat="1" ht="19.5" customHeight="1" x14ac:dyDescent="0.2">
      <c r="A68" s="226" t="s">
        <v>236</v>
      </c>
      <c r="B68" s="70"/>
      <c r="C68" s="103" t="s">
        <v>341</v>
      </c>
      <c r="D68" s="73"/>
      <c r="E68" s="73"/>
      <c r="F68" s="73"/>
      <c r="G68" s="73"/>
      <c r="H68" s="73">
        <f>SUM(E68:G68)</f>
        <v>0</v>
      </c>
      <c r="I68" s="229">
        <f t="shared" ref="I68:I74" si="13">SUM(D68-H68)</f>
        <v>0</v>
      </c>
    </row>
    <row r="69" spans="1:9" s="68" customFormat="1" ht="24" x14ac:dyDescent="0.2">
      <c r="A69" s="42" t="s">
        <v>127</v>
      </c>
      <c r="B69" s="70"/>
      <c r="C69" s="102" t="s">
        <v>216</v>
      </c>
      <c r="D69" s="73">
        <v>5600</v>
      </c>
      <c r="E69" s="73">
        <v>5600</v>
      </c>
      <c r="F69" s="73"/>
      <c r="G69" s="73"/>
      <c r="H69" s="73">
        <f t="shared" si="12"/>
        <v>5600</v>
      </c>
      <c r="I69" s="229">
        <f t="shared" si="13"/>
        <v>0</v>
      </c>
    </row>
    <row r="70" spans="1:9" s="68" customFormat="1" ht="24" x14ac:dyDescent="0.2">
      <c r="A70" s="42" t="s">
        <v>13</v>
      </c>
      <c r="B70" s="4"/>
      <c r="C70" s="104" t="s">
        <v>217</v>
      </c>
      <c r="D70" s="73">
        <v>130500</v>
      </c>
      <c r="E70" s="73">
        <v>58700</v>
      </c>
      <c r="F70" s="73"/>
      <c r="G70" s="73"/>
      <c r="H70" s="73">
        <f t="shared" si="12"/>
        <v>58700</v>
      </c>
      <c r="I70" s="229">
        <f t="shared" si="13"/>
        <v>71800</v>
      </c>
    </row>
    <row r="71" spans="1:9" s="68" customFormat="1" ht="15" x14ac:dyDescent="0.2">
      <c r="A71" s="42" t="s">
        <v>263</v>
      </c>
      <c r="B71" s="4"/>
      <c r="C71" s="104" t="s">
        <v>264</v>
      </c>
      <c r="D71" s="73">
        <v>551750</v>
      </c>
      <c r="E71" s="73">
        <f>156113+360000</f>
        <v>516113</v>
      </c>
      <c r="F71" s="73"/>
      <c r="G71" s="73"/>
      <c r="H71" s="73">
        <f t="shared" si="12"/>
        <v>516113</v>
      </c>
      <c r="I71" s="229">
        <f t="shared" si="13"/>
        <v>35637</v>
      </c>
    </row>
    <row r="72" spans="1:9" s="68" customFormat="1" ht="24" x14ac:dyDescent="0.2">
      <c r="A72" s="42" t="s">
        <v>268</v>
      </c>
      <c r="B72" s="4"/>
      <c r="C72" s="104" t="s">
        <v>269</v>
      </c>
      <c r="D72" s="73">
        <v>200000</v>
      </c>
      <c r="E72" s="73">
        <v>200000</v>
      </c>
      <c r="F72" s="73"/>
      <c r="G72" s="73"/>
      <c r="H72" s="73">
        <f t="shared" si="12"/>
        <v>200000</v>
      </c>
      <c r="I72" s="229">
        <f t="shared" si="13"/>
        <v>0</v>
      </c>
    </row>
    <row r="73" spans="1:9" s="68" customFormat="1" ht="15" x14ac:dyDescent="0.2">
      <c r="A73" s="42"/>
      <c r="B73" s="4"/>
      <c r="C73" s="104" t="s">
        <v>339</v>
      </c>
      <c r="D73" s="73"/>
      <c r="E73" s="73"/>
      <c r="F73" s="73"/>
      <c r="G73" s="73"/>
      <c r="H73" s="73">
        <f t="shared" ref="H73" si="14">SUM(E73:G73)</f>
        <v>0</v>
      </c>
      <c r="I73" s="229">
        <f t="shared" ref="I73" si="15">SUM(D73-H73)</f>
        <v>0</v>
      </c>
    </row>
    <row r="74" spans="1:9" s="68" customFormat="1" ht="24" x14ac:dyDescent="0.2">
      <c r="A74" s="42" t="s">
        <v>276</v>
      </c>
      <c r="B74" s="4"/>
      <c r="C74" s="104" t="s">
        <v>277</v>
      </c>
      <c r="D74" s="73"/>
      <c r="E74" s="73"/>
      <c r="F74" s="73"/>
      <c r="G74" s="73"/>
      <c r="H74" s="73">
        <f>SUM(E74:G74)</f>
        <v>0</v>
      </c>
      <c r="I74" s="229">
        <f t="shared" si="13"/>
        <v>0</v>
      </c>
    </row>
    <row r="75" spans="1:9" s="68" customFormat="1" ht="15" x14ac:dyDescent="0.2">
      <c r="A75" s="250"/>
      <c r="B75" s="251"/>
      <c r="C75" s="252"/>
      <c r="D75" s="253"/>
      <c r="E75" s="253"/>
      <c r="F75" s="253"/>
      <c r="G75" s="253"/>
      <c r="H75" s="253"/>
      <c r="I75" s="254"/>
    </row>
    <row r="76" spans="1:9" s="68" customFormat="1" ht="15" x14ac:dyDescent="0.2">
      <c r="A76" s="250"/>
      <c r="B76" s="251"/>
      <c r="C76" s="252"/>
      <c r="D76" s="253"/>
      <c r="E76" s="253"/>
      <c r="F76" s="253"/>
      <c r="G76" s="253"/>
      <c r="H76" s="253"/>
      <c r="I76" s="254"/>
    </row>
  </sheetData>
  <mergeCells count="13">
    <mergeCell ref="A10:C10"/>
    <mergeCell ref="B6:H6"/>
    <mergeCell ref="A1:H1"/>
    <mergeCell ref="A2:I2"/>
    <mergeCell ref="A3:I3"/>
    <mergeCell ref="C4:D4"/>
    <mergeCell ref="D11:D12"/>
    <mergeCell ref="A63:B63"/>
    <mergeCell ref="B11:B12"/>
    <mergeCell ref="I11:I12"/>
    <mergeCell ref="E11:H11"/>
    <mergeCell ref="A11:A12"/>
    <mergeCell ref="C11:C12"/>
  </mergeCells>
  <phoneticPr fontId="4" type="noConversion"/>
  <pageMargins left="0" right="0" top="0.78740157480314965" bottom="0" header="0" footer="0"/>
  <pageSetup paperSize="9" scale="70" orientation="landscape" verticalDpi="300" r:id="rId1"/>
  <headerFooter alignWithMargins="0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abSelected="1" view="pageBreakPreview" zoomScale="80" zoomScaleNormal="80" zoomScaleSheetLayoutView="80" workbookViewId="0">
      <pane xSplit="7" ySplit="5" topLeftCell="H81" activePane="bottomRight" state="frozen"/>
      <selection pane="topRight" activeCell="D1" sqref="D1"/>
      <selection pane="bottomLeft" activeCell="A7" sqref="A7"/>
      <selection pane="bottomRight" activeCell="I89" sqref="I89"/>
    </sheetView>
  </sheetViews>
  <sheetFormatPr defaultRowHeight="15" x14ac:dyDescent="0.2"/>
  <cols>
    <col min="1" max="1" width="60.7109375" style="9" customWidth="1"/>
    <col min="2" max="2" width="5.140625" style="201" customWidth="1"/>
    <col min="3" max="3" width="6.42578125" style="201" bestFit="1" customWidth="1"/>
    <col min="4" max="4" width="10.28515625" style="201" bestFit="1" customWidth="1"/>
    <col min="5" max="5" width="10.28515625" style="201" customWidth="1"/>
    <col min="6" max="6" width="5.140625" style="201" customWidth="1"/>
    <col min="7" max="7" width="6.5703125" style="201" bestFit="1" customWidth="1"/>
    <col min="8" max="8" width="16.7109375" style="31" customWidth="1"/>
    <col min="9" max="9" width="14.7109375" style="245" customWidth="1"/>
    <col min="10" max="10" width="15" style="31" customWidth="1"/>
    <col min="11" max="11" width="9.140625" style="31"/>
    <col min="12" max="12" width="10.140625" style="31" customWidth="1"/>
    <col min="13" max="13" width="20.42578125" style="31" customWidth="1"/>
    <col min="14" max="14" width="16" style="31" customWidth="1"/>
    <col min="15" max="15" width="14.85546875" style="31" customWidth="1"/>
    <col min="16" max="16384" width="9.140625" style="9"/>
  </cols>
  <sheetData>
    <row r="1" spans="1:15" s="68" customFormat="1" ht="18" x14ac:dyDescent="0.2">
      <c r="A1" s="277" t="s">
        <v>14</v>
      </c>
      <c r="B1" s="277"/>
      <c r="C1" s="277"/>
      <c r="D1" s="277"/>
      <c r="E1" s="277"/>
      <c r="F1" s="277"/>
      <c r="G1" s="277"/>
      <c r="H1" s="105"/>
      <c r="I1" s="230"/>
      <c r="J1" s="106"/>
      <c r="K1" s="106"/>
      <c r="L1" s="106"/>
      <c r="M1" s="105"/>
      <c r="N1" s="105"/>
      <c r="O1" s="105"/>
    </row>
    <row r="2" spans="1:15" s="68" customFormat="1" x14ac:dyDescent="0.2">
      <c r="B2" s="194"/>
      <c r="C2" s="194"/>
      <c r="D2" s="194"/>
      <c r="E2" s="194"/>
      <c r="F2" s="194"/>
      <c r="G2" s="194"/>
      <c r="H2" s="105"/>
      <c r="I2" s="230"/>
      <c r="J2" s="106"/>
      <c r="K2" s="106"/>
      <c r="L2" s="106"/>
      <c r="M2" s="105"/>
      <c r="N2" s="105"/>
      <c r="O2" s="105"/>
    </row>
    <row r="3" spans="1:15" s="51" customFormat="1" ht="29.25" customHeight="1" x14ac:dyDescent="0.2">
      <c r="A3" s="284" t="s">
        <v>4</v>
      </c>
      <c r="B3" s="278" t="s">
        <v>142</v>
      </c>
      <c r="C3" s="279"/>
      <c r="D3" s="279"/>
      <c r="E3" s="279"/>
      <c r="F3" s="279"/>
      <c r="G3" s="280"/>
      <c r="H3" s="281" t="s">
        <v>250</v>
      </c>
      <c r="I3" s="281" t="s">
        <v>251</v>
      </c>
      <c r="J3" s="281" t="s">
        <v>15</v>
      </c>
      <c r="K3" s="281"/>
      <c r="L3" s="281"/>
      <c r="M3" s="281"/>
      <c r="N3" s="282" t="s">
        <v>16</v>
      </c>
      <c r="O3" s="283"/>
    </row>
    <row r="4" spans="1:15" s="51" customFormat="1" ht="61.5" customHeight="1" x14ac:dyDescent="0.2">
      <c r="A4" s="284"/>
      <c r="B4" s="202" t="s">
        <v>3</v>
      </c>
      <c r="C4" s="202" t="s">
        <v>156</v>
      </c>
      <c r="D4" s="203" t="s">
        <v>155</v>
      </c>
      <c r="E4" s="203" t="s">
        <v>154</v>
      </c>
      <c r="F4" s="203" t="s">
        <v>153</v>
      </c>
      <c r="G4" s="203" t="s">
        <v>152</v>
      </c>
      <c r="H4" s="281"/>
      <c r="I4" s="281"/>
      <c r="J4" s="193" t="s">
        <v>139</v>
      </c>
      <c r="K4" s="192" t="s">
        <v>5</v>
      </c>
      <c r="L4" s="192" t="s">
        <v>17</v>
      </c>
      <c r="M4" s="192" t="s">
        <v>54</v>
      </c>
      <c r="N4" s="218" t="s">
        <v>252</v>
      </c>
      <c r="O4" s="219" t="s">
        <v>253</v>
      </c>
    </row>
    <row r="5" spans="1:15" s="109" customFormat="1" ht="18" customHeight="1" x14ac:dyDescent="0.2">
      <c r="A5" s="107">
        <v>1</v>
      </c>
      <c r="B5" s="128">
        <v>2</v>
      </c>
      <c r="C5" s="128" t="s">
        <v>207</v>
      </c>
      <c r="D5" s="128" t="s">
        <v>88</v>
      </c>
      <c r="E5" s="128" t="s">
        <v>89</v>
      </c>
      <c r="F5" s="128" t="s">
        <v>90</v>
      </c>
      <c r="G5" s="128" t="s">
        <v>91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  <c r="N5" s="108">
        <v>14</v>
      </c>
      <c r="O5" s="108">
        <v>15</v>
      </c>
    </row>
    <row r="6" spans="1:15" s="110" customFormat="1" ht="22.5" customHeight="1" x14ac:dyDescent="0.2">
      <c r="A6" s="169" t="s">
        <v>143</v>
      </c>
      <c r="B6" s="122">
        <v>200</v>
      </c>
      <c r="C6" s="122"/>
      <c r="D6" s="122"/>
      <c r="E6" s="122"/>
      <c r="F6" s="122"/>
      <c r="G6" s="122"/>
      <c r="H6" s="49">
        <f>SUM(H7+H38+H47+H67+H81+H122+H126+H157+H152+H161+H52)</f>
        <v>13389950</v>
      </c>
      <c r="I6" s="231" t="s">
        <v>254</v>
      </c>
      <c r="J6" s="49">
        <f>SUM(J7+J38+J47+J67+J81+J122+J126+J157+J152+J161)</f>
        <v>4735122.97</v>
      </c>
      <c r="K6" s="49">
        <f>SUM(K7+K38+K47+K67+K81+K122+K126+K157+K152)</f>
        <v>0</v>
      </c>
      <c r="L6" s="49">
        <f>SUM(L7+L38+L47+L67+L81+L122+L126+L157+L152)</f>
        <v>0</v>
      </c>
      <c r="M6" s="49">
        <f>SUM(M7+M38+M47+M67+M81+M122+M126+M157+M152)</f>
        <v>4683922.97</v>
      </c>
      <c r="N6" s="49">
        <f>SUM(N7+N38+N47+N67+N81+N122+N126+N157+N152)</f>
        <v>5240127.03</v>
      </c>
      <c r="O6" s="49"/>
    </row>
    <row r="7" spans="1:15" s="68" customFormat="1" ht="19.5" customHeight="1" x14ac:dyDescent="0.2">
      <c r="A7" s="91" t="s">
        <v>18</v>
      </c>
      <c r="B7" s="122"/>
      <c r="C7" s="122" t="s">
        <v>146</v>
      </c>
      <c r="D7" s="122" t="s">
        <v>147</v>
      </c>
      <c r="E7" s="122" t="s">
        <v>147</v>
      </c>
      <c r="F7" s="122" t="s">
        <v>145</v>
      </c>
      <c r="G7" s="122" t="s">
        <v>145</v>
      </c>
      <c r="H7" s="49">
        <f>SUM(H8+H11+H14+H32+H34+H36)</f>
        <v>4469200</v>
      </c>
      <c r="I7" s="231" t="s">
        <v>254</v>
      </c>
      <c r="J7" s="49">
        <f>SUM(J8+J11+J14+J32+J34+J52+J36)</f>
        <v>2044798.2499999998</v>
      </c>
      <c r="K7" s="49">
        <f>SUM(K8+K11+K14+K32+K52)</f>
        <v>0</v>
      </c>
      <c r="L7" s="49">
        <f>SUM(L8+L11+L14+L32+L52)</f>
        <v>0</v>
      </c>
      <c r="M7" s="95">
        <f t="shared" ref="M7:M42" si="0">SUM(J7:L7)</f>
        <v>2044798.2499999998</v>
      </c>
      <c r="N7" s="95">
        <f t="shared" ref="N7:N42" si="1">SUM(H7-M7)</f>
        <v>2424401.75</v>
      </c>
      <c r="O7" s="95"/>
    </row>
    <row r="8" spans="1:15" s="68" customFormat="1" ht="33" customHeight="1" x14ac:dyDescent="0.2">
      <c r="A8" s="111" t="s">
        <v>137</v>
      </c>
      <c r="B8" s="195"/>
      <c r="C8" s="195" t="s">
        <v>145</v>
      </c>
      <c r="D8" s="195" t="s">
        <v>148</v>
      </c>
      <c r="E8" s="195" t="s">
        <v>147</v>
      </c>
      <c r="F8" s="195" t="s">
        <v>145</v>
      </c>
      <c r="G8" s="195" t="s">
        <v>145</v>
      </c>
      <c r="H8" s="44">
        <f>SUM(H9:H10)</f>
        <v>0</v>
      </c>
      <c r="I8" s="232" t="s">
        <v>254</v>
      </c>
      <c r="J8" s="44">
        <v>0</v>
      </c>
      <c r="K8" s="44">
        <f>SUM(K9:K10)</f>
        <v>0</v>
      </c>
      <c r="L8" s="44">
        <f>SUM(L9:L10)</f>
        <v>0</v>
      </c>
      <c r="M8" s="84">
        <f t="shared" si="0"/>
        <v>0</v>
      </c>
      <c r="N8" s="84">
        <f t="shared" si="1"/>
        <v>0</v>
      </c>
      <c r="O8" s="84"/>
    </row>
    <row r="9" spans="1:15" s="51" customFormat="1" ht="19.5" customHeight="1" x14ac:dyDescent="0.2">
      <c r="A9" s="162" t="s">
        <v>19</v>
      </c>
      <c r="B9" s="128"/>
      <c r="C9" s="128" t="s">
        <v>245</v>
      </c>
      <c r="D9" s="128" t="s">
        <v>148</v>
      </c>
      <c r="E9" s="128" t="s">
        <v>149</v>
      </c>
      <c r="F9" s="128" t="s">
        <v>79</v>
      </c>
      <c r="G9" s="128" t="s">
        <v>150</v>
      </c>
      <c r="H9" s="158"/>
      <c r="I9" s="233" t="s">
        <v>254</v>
      </c>
      <c r="J9" s="73"/>
      <c r="K9" s="73"/>
      <c r="L9" s="73"/>
      <c r="M9" s="73">
        <f t="shared" si="0"/>
        <v>0</v>
      </c>
      <c r="N9" s="73">
        <f t="shared" si="1"/>
        <v>0</v>
      </c>
      <c r="O9" s="73"/>
    </row>
    <row r="10" spans="1:15" s="51" customFormat="1" ht="19.5" customHeight="1" x14ac:dyDescent="0.2">
      <c r="A10" s="162" t="s">
        <v>20</v>
      </c>
      <c r="B10" s="128"/>
      <c r="C10" s="128" t="s">
        <v>245</v>
      </c>
      <c r="D10" s="128" t="s">
        <v>148</v>
      </c>
      <c r="E10" s="128" t="s">
        <v>149</v>
      </c>
      <c r="F10" s="128" t="s">
        <v>79</v>
      </c>
      <c r="G10" s="128" t="s">
        <v>151</v>
      </c>
      <c r="H10" s="158"/>
      <c r="I10" s="233" t="s">
        <v>254</v>
      </c>
      <c r="J10" s="73"/>
      <c r="K10" s="73"/>
      <c r="L10" s="73"/>
      <c r="M10" s="73">
        <f t="shared" si="0"/>
        <v>0</v>
      </c>
      <c r="N10" s="73">
        <f t="shared" si="1"/>
        <v>0</v>
      </c>
      <c r="O10" s="73"/>
    </row>
    <row r="11" spans="1:15" s="48" customFormat="1" ht="45" x14ac:dyDescent="0.2">
      <c r="A11" s="113" t="s">
        <v>78</v>
      </c>
      <c r="B11" s="114"/>
      <c r="C11" s="195" t="s">
        <v>145</v>
      </c>
      <c r="D11" s="195" t="s">
        <v>157</v>
      </c>
      <c r="E11" s="195" t="s">
        <v>147</v>
      </c>
      <c r="F11" s="195" t="s">
        <v>145</v>
      </c>
      <c r="G11" s="195" t="s">
        <v>145</v>
      </c>
      <c r="H11" s="115">
        <f>SUM(H12:H13)</f>
        <v>0</v>
      </c>
      <c r="I11" s="234" t="s">
        <v>254</v>
      </c>
      <c r="J11" s="115">
        <v>0</v>
      </c>
      <c r="K11" s="115">
        <f>SUM(K12:K13)</f>
        <v>0</v>
      </c>
      <c r="L11" s="115">
        <f>SUM(L12:L13)</f>
        <v>0</v>
      </c>
      <c r="M11" s="84">
        <f t="shared" si="0"/>
        <v>0</v>
      </c>
      <c r="N11" s="84">
        <f t="shared" si="1"/>
        <v>0</v>
      </c>
      <c r="O11" s="84"/>
    </row>
    <row r="12" spans="1:15" s="163" customFormat="1" ht="18.75" customHeight="1" x14ac:dyDescent="0.2">
      <c r="A12" s="112" t="s">
        <v>19</v>
      </c>
      <c r="B12" s="196"/>
      <c r="C12" s="128" t="s">
        <v>245</v>
      </c>
      <c r="D12" s="128" t="s">
        <v>157</v>
      </c>
      <c r="E12" s="128" t="s">
        <v>159</v>
      </c>
      <c r="F12" s="128" t="s">
        <v>79</v>
      </c>
      <c r="G12" s="128" t="s">
        <v>150</v>
      </c>
      <c r="H12" s="116"/>
      <c r="I12" s="235" t="s">
        <v>254</v>
      </c>
      <c r="J12" s="116"/>
      <c r="K12" s="117"/>
      <c r="L12" s="85"/>
      <c r="M12" s="85">
        <f t="shared" si="0"/>
        <v>0</v>
      </c>
      <c r="N12" s="85">
        <f t="shared" si="1"/>
        <v>0</v>
      </c>
      <c r="O12" s="85"/>
    </row>
    <row r="13" spans="1:15" s="163" customFormat="1" ht="19.5" customHeight="1" x14ac:dyDescent="0.2">
      <c r="A13" s="112" t="s">
        <v>80</v>
      </c>
      <c r="B13" s="196"/>
      <c r="C13" s="128" t="s">
        <v>245</v>
      </c>
      <c r="D13" s="128" t="s">
        <v>157</v>
      </c>
      <c r="E13" s="128" t="s">
        <v>159</v>
      </c>
      <c r="F13" s="128" t="s">
        <v>79</v>
      </c>
      <c r="G13" s="128" t="s">
        <v>151</v>
      </c>
      <c r="H13" s="164"/>
      <c r="I13" s="236" t="s">
        <v>254</v>
      </c>
      <c r="J13" s="85"/>
      <c r="K13" s="85"/>
      <c r="L13" s="85"/>
      <c r="M13" s="85">
        <f t="shared" si="0"/>
        <v>0</v>
      </c>
      <c r="N13" s="85">
        <f t="shared" si="1"/>
        <v>0</v>
      </c>
      <c r="O13" s="85"/>
    </row>
    <row r="14" spans="1:15" s="68" customFormat="1" ht="19.5" customHeight="1" x14ac:dyDescent="0.2">
      <c r="A14" s="111" t="s">
        <v>21</v>
      </c>
      <c r="B14" s="195"/>
      <c r="C14" s="195" t="s">
        <v>145</v>
      </c>
      <c r="D14" s="195" t="s">
        <v>158</v>
      </c>
      <c r="E14" s="195" t="s">
        <v>147</v>
      </c>
      <c r="F14" s="195" t="s">
        <v>145</v>
      </c>
      <c r="G14" s="195" t="s">
        <v>145</v>
      </c>
      <c r="H14" s="44">
        <f>SUM(H15:H31)</f>
        <v>4366200</v>
      </c>
      <c r="I14" s="232" t="s">
        <v>254</v>
      </c>
      <c r="J14" s="44">
        <f>SUM(J15:J31)</f>
        <v>2024798.2499999998</v>
      </c>
      <c r="K14" s="44">
        <f>SUM(K15:K31)</f>
        <v>0</v>
      </c>
      <c r="L14" s="44">
        <f>SUM(L15:L31)</f>
        <v>0</v>
      </c>
      <c r="M14" s="84">
        <f t="shared" si="0"/>
        <v>2024798.2499999998</v>
      </c>
      <c r="N14" s="84">
        <f t="shared" si="1"/>
        <v>2341401.75</v>
      </c>
      <c r="O14" s="84"/>
    </row>
    <row r="15" spans="1:15" s="51" customFormat="1" ht="19.5" customHeight="1" x14ac:dyDescent="0.2">
      <c r="A15" s="162" t="s">
        <v>19</v>
      </c>
      <c r="B15" s="128"/>
      <c r="C15" s="128" t="s">
        <v>245</v>
      </c>
      <c r="D15" s="128" t="s">
        <v>158</v>
      </c>
      <c r="E15" s="128" t="s">
        <v>160</v>
      </c>
      <c r="F15" s="128" t="s">
        <v>290</v>
      </c>
      <c r="G15" s="128" t="s">
        <v>150</v>
      </c>
      <c r="H15" s="158">
        <v>2118000</v>
      </c>
      <c r="I15" s="233" t="s">
        <v>254</v>
      </c>
      <c r="J15" s="246">
        <f>48402.1+171147.6+20000+36181.28+11087.8+4600+20400+43700+23621.1+95957.14+50828.75+36200+28861.52+115286.52+36200+30400+25133.1+129171.2+36200+20700+33458.1</f>
        <v>1017536.21</v>
      </c>
      <c r="K15" s="73"/>
      <c r="L15" s="73"/>
      <c r="M15" s="73">
        <f t="shared" si="0"/>
        <v>1017536.21</v>
      </c>
      <c r="N15" s="73">
        <f t="shared" si="1"/>
        <v>1100463.79</v>
      </c>
      <c r="O15" s="73"/>
    </row>
    <row r="16" spans="1:15" s="51" customFormat="1" ht="19.5" customHeight="1" x14ac:dyDescent="0.2">
      <c r="A16" s="162" t="s">
        <v>22</v>
      </c>
      <c r="B16" s="128"/>
      <c r="C16" s="128" t="s">
        <v>245</v>
      </c>
      <c r="D16" s="128" t="s">
        <v>158</v>
      </c>
      <c r="E16" s="128" t="s">
        <v>160</v>
      </c>
      <c r="F16" s="128" t="s">
        <v>321</v>
      </c>
      <c r="G16" s="128" t="s">
        <v>161</v>
      </c>
      <c r="H16" s="158">
        <v>200</v>
      </c>
      <c r="I16" s="233" t="s">
        <v>254</v>
      </c>
      <c r="J16" s="246">
        <f>50+50+46.77</f>
        <v>146.77000000000001</v>
      </c>
      <c r="K16" s="73"/>
      <c r="L16" s="73"/>
      <c r="M16" s="73">
        <f t="shared" si="0"/>
        <v>146.77000000000001</v>
      </c>
      <c r="N16" s="73">
        <f t="shared" si="1"/>
        <v>53.22999999999999</v>
      </c>
      <c r="O16" s="73"/>
    </row>
    <row r="17" spans="1:15" s="51" customFormat="1" ht="19.5" customHeight="1" x14ac:dyDescent="0.2">
      <c r="A17" s="162" t="s">
        <v>20</v>
      </c>
      <c r="B17" s="128"/>
      <c r="C17" s="128" t="s">
        <v>245</v>
      </c>
      <c r="D17" s="128" t="s">
        <v>158</v>
      </c>
      <c r="E17" s="128" t="s">
        <v>160</v>
      </c>
      <c r="F17" s="128" t="s">
        <v>290</v>
      </c>
      <c r="G17" s="128" t="s">
        <v>151</v>
      </c>
      <c r="H17" s="158">
        <v>639500</v>
      </c>
      <c r="I17" s="233" t="s">
        <v>254</v>
      </c>
      <c r="J17" s="246">
        <f>1.78+48471.89+40606.42+64876.48+53257.09+44910.07+64930.15</f>
        <v>317053.88</v>
      </c>
      <c r="K17" s="73"/>
      <c r="L17" s="73"/>
      <c r="M17" s="73">
        <f t="shared" si="0"/>
        <v>317053.88</v>
      </c>
      <c r="N17" s="73">
        <f t="shared" si="1"/>
        <v>322446.12</v>
      </c>
      <c r="O17" s="73"/>
    </row>
    <row r="18" spans="1:15" s="51" customFormat="1" ht="19.5" customHeight="1" x14ac:dyDescent="0.2">
      <c r="A18" s="162" t="s">
        <v>23</v>
      </c>
      <c r="B18" s="128"/>
      <c r="C18" s="128" t="s">
        <v>245</v>
      </c>
      <c r="D18" s="128" t="s">
        <v>158</v>
      </c>
      <c r="E18" s="128" t="s">
        <v>160</v>
      </c>
      <c r="F18" s="128" t="s">
        <v>179</v>
      </c>
      <c r="G18" s="128" t="s">
        <v>162</v>
      </c>
      <c r="H18" s="158">
        <v>177000</v>
      </c>
      <c r="I18" s="233" t="s">
        <v>254</v>
      </c>
      <c r="J18" s="246">
        <f>2200+2500+8829.23+11595.16+2200+8228.9+1000+8129.01+2300+2200+8372.16+2200+8245.84+1000+2200</f>
        <v>71200.3</v>
      </c>
      <c r="K18" s="73"/>
      <c r="L18" s="73"/>
      <c r="M18" s="73">
        <f t="shared" si="0"/>
        <v>71200.3</v>
      </c>
      <c r="N18" s="73">
        <f t="shared" si="1"/>
        <v>105799.7</v>
      </c>
      <c r="O18" s="73"/>
    </row>
    <row r="19" spans="1:15" s="51" customFormat="1" ht="19.5" customHeight="1" x14ac:dyDescent="0.2">
      <c r="A19" s="162" t="s">
        <v>24</v>
      </c>
      <c r="B19" s="128"/>
      <c r="C19" s="128" t="s">
        <v>245</v>
      </c>
      <c r="D19" s="128" t="s">
        <v>158</v>
      </c>
      <c r="E19" s="128" t="s">
        <v>160</v>
      </c>
      <c r="F19" s="128" t="s">
        <v>292</v>
      </c>
      <c r="G19" s="128" t="s">
        <v>163</v>
      </c>
      <c r="H19" s="158"/>
      <c r="I19" s="233" t="s">
        <v>254</v>
      </c>
      <c r="J19" s="246"/>
      <c r="K19" s="73"/>
      <c r="L19" s="73"/>
      <c r="M19" s="73">
        <f t="shared" si="0"/>
        <v>0</v>
      </c>
      <c r="N19" s="73">
        <f t="shared" si="1"/>
        <v>0</v>
      </c>
      <c r="O19" s="73"/>
    </row>
    <row r="20" spans="1:15" s="51" customFormat="1" ht="19.5" customHeight="1" x14ac:dyDescent="0.2">
      <c r="A20" s="162" t="s">
        <v>25</v>
      </c>
      <c r="B20" s="128"/>
      <c r="C20" s="128" t="s">
        <v>245</v>
      </c>
      <c r="D20" s="128" t="s">
        <v>158</v>
      </c>
      <c r="E20" s="128" t="s">
        <v>160</v>
      </c>
      <c r="F20" s="128" t="s">
        <v>292</v>
      </c>
      <c r="G20" s="128" t="s">
        <v>164</v>
      </c>
      <c r="H20" s="158">
        <v>64000</v>
      </c>
      <c r="I20" s="233" t="s">
        <v>254</v>
      </c>
      <c r="J20" s="246">
        <f>5137.66+3421.11+3404.52+3478.33+2775.2+1630.37</f>
        <v>19847.189999999999</v>
      </c>
      <c r="K20" s="73"/>
      <c r="L20" s="73"/>
      <c r="M20" s="73">
        <f t="shared" si="0"/>
        <v>19847.189999999999</v>
      </c>
      <c r="N20" s="73">
        <f t="shared" si="1"/>
        <v>44152.81</v>
      </c>
      <c r="O20" s="73"/>
    </row>
    <row r="21" spans="1:15" s="51" customFormat="1" ht="19.5" customHeight="1" x14ac:dyDescent="0.2">
      <c r="A21" s="162" t="s">
        <v>26</v>
      </c>
      <c r="B21" s="128"/>
      <c r="C21" s="128" t="s">
        <v>245</v>
      </c>
      <c r="D21" s="128" t="s">
        <v>158</v>
      </c>
      <c r="E21" s="128" t="s">
        <v>160</v>
      </c>
      <c r="F21" s="128" t="s">
        <v>179</v>
      </c>
      <c r="G21" s="128" t="s">
        <v>165</v>
      </c>
      <c r="H21" s="73">
        <v>18000</v>
      </c>
      <c r="I21" s="233" t="s">
        <v>254</v>
      </c>
      <c r="J21" s="246">
        <f>1800+2520+2900</f>
        <v>7220</v>
      </c>
      <c r="K21" s="73"/>
      <c r="L21" s="73"/>
      <c r="M21" s="73">
        <f t="shared" si="0"/>
        <v>7220</v>
      </c>
      <c r="N21" s="73">
        <f t="shared" si="1"/>
        <v>10780</v>
      </c>
      <c r="O21" s="73"/>
    </row>
    <row r="22" spans="1:15" s="51" customFormat="1" ht="19.5" customHeight="1" x14ac:dyDescent="0.2">
      <c r="A22" s="162" t="s">
        <v>26</v>
      </c>
      <c r="B22" s="128"/>
      <c r="C22" s="128" t="s">
        <v>245</v>
      </c>
      <c r="D22" s="128" t="s">
        <v>158</v>
      </c>
      <c r="E22" s="128" t="s">
        <v>160</v>
      </c>
      <c r="F22" s="128" t="s">
        <v>292</v>
      </c>
      <c r="G22" s="128" t="s">
        <v>165</v>
      </c>
      <c r="H22" s="73">
        <v>20000</v>
      </c>
      <c r="I22" s="233" t="s">
        <v>254</v>
      </c>
      <c r="J22" s="246">
        <f>1463.95+463.95+1463.95+500+1000+1463.95+6483.96+462.95+1001+474.76</f>
        <v>14778.470000000001</v>
      </c>
      <c r="K22" s="73"/>
      <c r="L22" s="73"/>
      <c r="M22" s="73">
        <f>SUM(J22:L22)</f>
        <v>14778.470000000001</v>
      </c>
      <c r="N22" s="73">
        <f>SUM(H22-M22)</f>
        <v>5221.5299999999988</v>
      </c>
      <c r="O22" s="73"/>
    </row>
    <row r="23" spans="1:15" s="51" customFormat="1" ht="19.5" customHeight="1" x14ac:dyDescent="0.2">
      <c r="A23" s="162" t="s">
        <v>27</v>
      </c>
      <c r="B23" s="128"/>
      <c r="C23" s="128" t="s">
        <v>245</v>
      </c>
      <c r="D23" s="128" t="s">
        <v>158</v>
      </c>
      <c r="E23" s="128" t="s">
        <v>160</v>
      </c>
      <c r="F23" s="128" t="s">
        <v>179</v>
      </c>
      <c r="G23" s="128" t="s">
        <v>166</v>
      </c>
      <c r="H23" s="73">
        <v>50000</v>
      </c>
      <c r="I23" s="233" t="s">
        <v>254</v>
      </c>
      <c r="J23" s="246">
        <f>1300+200+700+14000+700</f>
        <v>16900</v>
      </c>
      <c r="K23" s="73"/>
      <c r="L23" s="73"/>
      <c r="M23" s="73">
        <f t="shared" si="0"/>
        <v>16900</v>
      </c>
      <c r="N23" s="73">
        <f t="shared" si="1"/>
        <v>33100</v>
      </c>
      <c r="O23" s="73"/>
    </row>
    <row r="24" spans="1:15" s="51" customFormat="1" ht="19.5" customHeight="1" x14ac:dyDescent="0.2">
      <c r="A24" s="162" t="s">
        <v>27</v>
      </c>
      <c r="B24" s="128"/>
      <c r="C24" s="128" t="s">
        <v>245</v>
      </c>
      <c r="D24" s="128" t="s">
        <v>158</v>
      </c>
      <c r="E24" s="128" t="s">
        <v>160</v>
      </c>
      <c r="F24" s="128" t="s">
        <v>292</v>
      </c>
      <c r="G24" s="128" t="s">
        <v>166</v>
      </c>
      <c r="H24" s="73">
        <f>18000+7500+25000</f>
        <v>50500</v>
      </c>
      <c r="I24" s="233" t="s">
        <v>254</v>
      </c>
      <c r="J24" s="246">
        <f>1699+11692.5+4225+7761.24+2400+3000+14056+2907.51</f>
        <v>47741.25</v>
      </c>
      <c r="K24" s="73"/>
      <c r="L24" s="73"/>
      <c r="M24" s="73">
        <f>SUM(J24:L24)</f>
        <v>47741.25</v>
      </c>
      <c r="N24" s="73">
        <f>SUM(H24-M24)</f>
        <v>2758.75</v>
      </c>
      <c r="O24" s="73"/>
    </row>
    <row r="25" spans="1:15" s="51" customFormat="1" ht="19.5" customHeight="1" x14ac:dyDescent="0.2">
      <c r="A25" s="162" t="s">
        <v>28</v>
      </c>
      <c r="B25" s="128"/>
      <c r="C25" s="128" t="s">
        <v>245</v>
      </c>
      <c r="D25" s="128" t="s">
        <v>158</v>
      </c>
      <c r="E25" s="128" t="s">
        <v>160</v>
      </c>
      <c r="F25" s="128" t="s">
        <v>292</v>
      </c>
      <c r="G25" s="128" t="s">
        <v>167</v>
      </c>
      <c r="H25" s="73">
        <f>2000</f>
        <v>2000</v>
      </c>
      <c r="I25" s="233" t="s">
        <v>254</v>
      </c>
      <c r="J25" s="246">
        <f>306+1500</f>
        <v>1806</v>
      </c>
      <c r="K25" s="73"/>
      <c r="L25" s="73"/>
      <c r="M25" s="73">
        <f t="shared" si="0"/>
        <v>1806</v>
      </c>
      <c r="N25" s="73">
        <f t="shared" si="1"/>
        <v>194</v>
      </c>
      <c r="O25" s="73"/>
    </row>
    <row r="26" spans="1:15" s="51" customFormat="1" ht="19.5" customHeight="1" x14ac:dyDescent="0.2">
      <c r="A26" s="162" t="s">
        <v>28</v>
      </c>
      <c r="B26" s="128"/>
      <c r="C26" s="128" t="s">
        <v>245</v>
      </c>
      <c r="D26" s="128" t="s">
        <v>158</v>
      </c>
      <c r="E26" s="128" t="s">
        <v>160</v>
      </c>
      <c r="F26" s="128" t="s">
        <v>293</v>
      </c>
      <c r="G26" s="128" t="s">
        <v>167</v>
      </c>
      <c r="H26" s="73">
        <v>800000</v>
      </c>
      <c r="I26" s="233" t="s">
        <v>254</v>
      </c>
      <c r="J26" s="246">
        <f>118986+185+233692</f>
        <v>352863</v>
      </c>
      <c r="K26" s="73"/>
      <c r="L26" s="73"/>
      <c r="M26" s="73">
        <f>SUM(J26:L26)</f>
        <v>352863</v>
      </c>
      <c r="N26" s="73">
        <f>SUM(H26-M26)</f>
        <v>447137</v>
      </c>
      <c r="O26" s="73"/>
    </row>
    <row r="27" spans="1:15" s="51" customFormat="1" ht="19.5" customHeight="1" x14ac:dyDescent="0.2">
      <c r="A27" s="162" t="s">
        <v>28</v>
      </c>
      <c r="B27" s="128"/>
      <c r="C27" s="128" t="s">
        <v>245</v>
      </c>
      <c r="D27" s="128" t="s">
        <v>158</v>
      </c>
      <c r="E27" s="128" t="s">
        <v>160</v>
      </c>
      <c r="F27" s="128" t="s">
        <v>294</v>
      </c>
      <c r="G27" s="128" t="s">
        <v>167</v>
      </c>
      <c r="H27" s="73">
        <f>400000-390000+20000</f>
        <v>30000</v>
      </c>
      <c r="I27" s="233" t="s">
        <v>254</v>
      </c>
      <c r="J27" s="246">
        <f>1932.63+0.01+3507.48+1033.86</f>
        <v>6473.98</v>
      </c>
      <c r="K27" s="73"/>
      <c r="L27" s="73"/>
      <c r="M27" s="73">
        <f>SUM(J27:L27)</f>
        <v>6473.98</v>
      </c>
      <c r="N27" s="73">
        <f>SUM(H27-M27)</f>
        <v>23526.02</v>
      </c>
      <c r="O27" s="73"/>
    </row>
    <row r="28" spans="1:15" s="51" customFormat="1" ht="19.5" customHeight="1" x14ac:dyDescent="0.2">
      <c r="A28" s="162" t="s">
        <v>29</v>
      </c>
      <c r="B28" s="128"/>
      <c r="C28" s="128" t="s">
        <v>245</v>
      </c>
      <c r="D28" s="128" t="s">
        <v>158</v>
      </c>
      <c r="E28" s="128" t="s">
        <v>160</v>
      </c>
      <c r="F28" s="128" t="s">
        <v>179</v>
      </c>
      <c r="G28" s="128" t="s">
        <v>168</v>
      </c>
      <c r="H28" s="73"/>
      <c r="I28" s="233" t="s">
        <v>254</v>
      </c>
      <c r="J28" s="246"/>
      <c r="K28" s="73"/>
      <c r="L28" s="73"/>
      <c r="M28" s="73">
        <f>SUM(J28:L28)</f>
        <v>0</v>
      </c>
      <c r="N28" s="73">
        <f>SUM(H28-M28)</f>
        <v>0</v>
      </c>
      <c r="O28" s="73"/>
    </row>
    <row r="29" spans="1:15" s="51" customFormat="1" ht="19.5" customHeight="1" x14ac:dyDescent="0.2">
      <c r="A29" s="162" t="s">
        <v>29</v>
      </c>
      <c r="B29" s="128"/>
      <c r="C29" s="128" t="s">
        <v>245</v>
      </c>
      <c r="D29" s="128" t="s">
        <v>158</v>
      </c>
      <c r="E29" s="128" t="s">
        <v>160</v>
      </c>
      <c r="F29" s="128" t="s">
        <v>292</v>
      </c>
      <c r="G29" s="128" t="s">
        <v>168</v>
      </c>
      <c r="H29" s="73">
        <v>50000</v>
      </c>
      <c r="I29" s="233" t="s">
        <v>254</v>
      </c>
      <c r="J29" s="246"/>
      <c r="K29" s="73"/>
      <c r="L29" s="73"/>
      <c r="M29" s="73">
        <f t="shared" si="0"/>
        <v>0</v>
      </c>
      <c r="N29" s="73">
        <f t="shared" si="1"/>
        <v>50000</v>
      </c>
      <c r="O29" s="73"/>
    </row>
    <row r="30" spans="1:15" s="51" customFormat="1" ht="19.5" customHeight="1" x14ac:dyDescent="0.2">
      <c r="A30" s="162" t="s">
        <v>30</v>
      </c>
      <c r="B30" s="128"/>
      <c r="C30" s="128" t="s">
        <v>245</v>
      </c>
      <c r="D30" s="128" t="s">
        <v>158</v>
      </c>
      <c r="E30" s="128" t="s">
        <v>160</v>
      </c>
      <c r="F30" s="128" t="s">
        <v>179</v>
      </c>
      <c r="G30" s="128" t="s">
        <v>169</v>
      </c>
      <c r="H30" s="73"/>
      <c r="I30" s="233" t="s">
        <v>254</v>
      </c>
      <c r="J30" s="246"/>
      <c r="K30" s="73"/>
      <c r="L30" s="73"/>
      <c r="M30" s="73">
        <f>SUM(J30:L30)</f>
        <v>0</v>
      </c>
      <c r="N30" s="73">
        <f>SUM(H30-M30)</f>
        <v>0</v>
      </c>
      <c r="O30" s="73"/>
    </row>
    <row r="31" spans="1:15" s="51" customFormat="1" ht="19.5" customHeight="1" x14ac:dyDescent="0.2">
      <c r="A31" s="162" t="s">
        <v>30</v>
      </c>
      <c r="B31" s="128"/>
      <c r="C31" s="128" t="s">
        <v>245</v>
      </c>
      <c r="D31" s="128" t="s">
        <v>158</v>
      </c>
      <c r="E31" s="128" t="s">
        <v>160</v>
      </c>
      <c r="F31" s="128" t="s">
        <v>292</v>
      </c>
      <c r="G31" s="128" t="s">
        <v>169</v>
      </c>
      <c r="H31" s="73">
        <f>440000-7500-85500</f>
        <v>347000</v>
      </c>
      <c r="I31" s="233" t="s">
        <v>254</v>
      </c>
      <c r="J31" s="246">
        <f>7980+4700+33558.7+4500+14875+800+3700+3910+18550+1000+20720+700+1500+4975+2000+21350+1700+4712.5</f>
        <v>151231.20000000001</v>
      </c>
      <c r="K31" s="73"/>
      <c r="L31" s="73"/>
      <c r="M31" s="73">
        <f t="shared" si="0"/>
        <v>151231.20000000001</v>
      </c>
      <c r="N31" s="73">
        <f t="shared" si="1"/>
        <v>195768.8</v>
      </c>
      <c r="O31" s="73" t="s">
        <v>308</v>
      </c>
    </row>
    <row r="32" spans="1:15" s="68" customFormat="1" ht="19.5" customHeight="1" x14ac:dyDescent="0.2">
      <c r="A32" s="118" t="s">
        <v>208</v>
      </c>
      <c r="B32" s="114"/>
      <c r="C32" s="195" t="s">
        <v>145</v>
      </c>
      <c r="D32" s="195" t="s">
        <v>170</v>
      </c>
      <c r="E32" s="195" t="s">
        <v>147</v>
      </c>
      <c r="F32" s="195" t="s">
        <v>145</v>
      </c>
      <c r="G32" s="195" t="s">
        <v>145</v>
      </c>
      <c r="H32" s="115">
        <f>SUM(H33)</f>
        <v>30000</v>
      </c>
      <c r="I32" s="234" t="s">
        <v>254</v>
      </c>
      <c r="J32" s="115">
        <v>0</v>
      </c>
      <c r="K32" s="115">
        <f>SUM(K33)</f>
        <v>0</v>
      </c>
      <c r="L32" s="115">
        <f>SUM(L33)</f>
        <v>0</v>
      </c>
      <c r="M32" s="84">
        <f t="shared" si="0"/>
        <v>0</v>
      </c>
      <c r="N32" s="84">
        <f t="shared" si="1"/>
        <v>30000</v>
      </c>
      <c r="O32" s="84"/>
    </row>
    <row r="33" spans="1:15" s="163" customFormat="1" ht="19.5" customHeight="1" x14ac:dyDescent="0.2">
      <c r="A33" s="162" t="s">
        <v>28</v>
      </c>
      <c r="B33" s="196"/>
      <c r="C33" s="128" t="s">
        <v>245</v>
      </c>
      <c r="D33" s="128" t="s">
        <v>170</v>
      </c>
      <c r="E33" s="128" t="s">
        <v>295</v>
      </c>
      <c r="F33" s="128" t="s">
        <v>292</v>
      </c>
      <c r="G33" s="196" t="s">
        <v>167</v>
      </c>
      <c r="H33" s="117">
        <v>30000</v>
      </c>
      <c r="I33" s="237" t="s">
        <v>254</v>
      </c>
      <c r="J33" s="117"/>
      <c r="K33" s="117"/>
      <c r="L33" s="119"/>
      <c r="M33" s="85">
        <f t="shared" si="0"/>
        <v>0</v>
      </c>
      <c r="N33" s="85">
        <f t="shared" si="1"/>
        <v>30000</v>
      </c>
      <c r="O33" s="85"/>
    </row>
    <row r="34" spans="1:15" s="68" customFormat="1" ht="19.5" customHeight="1" x14ac:dyDescent="0.2">
      <c r="A34" s="118" t="s">
        <v>259</v>
      </c>
      <c r="B34" s="114"/>
      <c r="C34" s="195" t="s">
        <v>145</v>
      </c>
      <c r="D34" s="195" t="s">
        <v>272</v>
      </c>
      <c r="E34" s="195" t="s">
        <v>147</v>
      </c>
      <c r="F34" s="195" t="s">
        <v>145</v>
      </c>
      <c r="G34" s="195" t="s">
        <v>145</v>
      </c>
      <c r="H34" s="115">
        <f>SUM(H35)</f>
        <v>30000</v>
      </c>
      <c r="I34" s="234" t="s">
        <v>254</v>
      </c>
      <c r="J34" s="115">
        <v>0</v>
      </c>
      <c r="K34" s="115">
        <f>SUM(K35)</f>
        <v>0</v>
      </c>
      <c r="L34" s="115">
        <f>SUM(L35)</f>
        <v>0</v>
      </c>
      <c r="M34" s="84">
        <f>SUM(J34:L34)</f>
        <v>0</v>
      </c>
      <c r="N34" s="84">
        <f>SUM(H34-M34)</f>
        <v>30000</v>
      </c>
      <c r="O34" s="84"/>
    </row>
    <row r="35" spans="1:15" s="163" customFormat="1" ht="19.5" customHeight="1" x14ac:dyDescent="0.2">
      <c r="A35" s="162" t="s">
        <v>28</v>
      </c>
      <c r="B35" s="196"/>
      <c r="C35" s="128" t="s">
        <v>245</v>
      </c>
      <c r="D35" s="128" t="s">
        <v>272</v>
      </c>
      <c r="E35" s="128" t="s">
        <v>260</v>
      </c>
      <c r="F35" s="128" t="s">
        <v>296</v>
      </c>
      <c r="G35" s="196" t="s">
        <v>167</v>
      </c>
      <c r="H35" s="117">
        <v>30000</v>
      </c>
      <c r="I35" s="237" t="s">
        <v>254</v>
      </c>
      <c r="J35" s="117"/>
      <c r="K35" s="117"/>
      <c r="L35" s="119"/>
      <c r="M35" s="85">
        <f>SUM(J35:L35)</f>
        <v>0</v>
      </c>
      <c r="N35" s="85">
        <f>SUM(H35-M35)</f>
        <v>30000</v>
      </c>
      <c r="O35" s="85"/>
    </row>
    <row r="36" spans="1:15" s="68" customFormat="1" ht="19.5" customHeight="1" x14ac:dyDescent="0.2">
      <c r="A36" s="118" t="s">
        <v>81</v>
      </c>
      <c r="B36" s="114"/>
      <c r="C36" s="195" t="s">
        <v>145</v>
      </c>
      <c r="D36" s="195" t="s">
        <v>337</v>
      </c>
      <c r="E36" s="195" t="s">
        <v>147</v>
      </c>
      <c r="F36" s="195" t="s">
        <v>145</v>
      </c>
      <c r="G36" s="195" t="s">
        <v>145</v>
      </c>
      <c r="H36" s="115">
        <f>SUM(H37)</f>
        <v>43000</v>
      </c>
      <c r="I36" s="234" t="s">
        <v>254</v>
      </c>
      <c r="J36" s="115">
        <f>SUM(J37)</f>
        <v>20000</v>
      </c>
      <c r="K36" s="115">
        <f>SUM(K37)</f>
        <v>0</v>
      </c>
      <c r="L36" s="115">
        <f>SUM(L37)</f>
        <v>0</v>
      </c>
      <c r="M36" s="84">
        <f>SUM(J36:L36)</f>
        <v>20000</v>
      </c>
      <c r="N36" s="84">
        <f>SUM(H36-M36)</f>
        <v>23000</v>
      </c>
      <c r="O36" s="84"/>
    </row>
    <row r="37" spans="1:15" s="163" customFormat="1" ht="19.5" customHeight="1" x14ac:dyDescent="0.2">
      <c r="A37" s="162" t="s">
        <v>28</v>
      </c>
      <c r="B37" s="196"/>
      <c r="C37" s="128" t="s">
        <v>245</v>
      </c>
      <c r="D37" s="128" t="s">
        <v>337</v>
      </c>
      <c r="E37" s="128" t="s">
        <v>160</v>
      </c>
      <c r="F37" s="128" t="s">
        <v>310</v>
      </c>
      <c r="G37" s="196" t="s">
        <v>267</v>
      </c>
      <c r="H37" s="117">
        <v>43000</v>
      </c>
      <c r="I37" s="237" t="s">
        <v>254</v>
      </c>
      <c r="J37" s="117">
        <f>20000</f>
        <v>20000</v>
      </c>
      <c r="K37" s="117"/>
      <c r="L37" s="119"/>
      <c r="M37" s="85">
        <f>SUM(J37:L37)</f>
        <v>20000</v>
      </c>
      <c r="N37" s="85">
        <f>SUM(H37-M37)</f>
        <v>23000</v>
      </c>
      <c r="O37" s="85"/>
    </row>
    <row r="38" spans="1:15" s="68" customFormat="1" ht="19.5" customHeight="1" x14ac:dyDescent="0.2">
      <c r="A38" s="179" t="s">
        <v>101</v>
      </c>
      <c r="B38" s="12"/>
      <c r="C38" s="12" t="s">
        <v>145</v>
      </c>
      <c r="D38" s="12" t="s">
        <v>171</v>
      </c>
      <c r="E38" s="12" t="s">
        <v>147</v>
      </c>
      <c r="F38" s="12" t="s">
        <v>145</v>
      </c>
      <c r="G38" s="12" t="s">
        <v>145</v>
      </c>
      <c r="H38" s="123">
        <f>SUM(H39)</f>
        <v>130500</v>
      </c>
      <c r="I38" s="239" t="s">
        <v>254</v>
      </c>
      <c r="J38" s="123">
        <f>SUM(J39)</f>
        <v>54169.899999999994</v>
      </c>
      <c r="K38" s="123">
        <f>SUM(K39)</f>
        <v>0</v>
      </c>
      <c r="L38" s="123">
        <f>SUM(L39)</f>
        <v>0</v>
      </c>
      <c r="M38" s="95">
        <f t="shared" si="0"/>
        <v>54169.899999999994</v>
      </c>
      <c r="N38" s="95">
        <f t="shared" si="1"/>
        <v>76330.100000000006</v>
      </c>
      <c r="O38" s="95"/>
    </row>
    <row r="39" spans="1:15" s="48" customFormat="1" ht="19.5" customHeight="1" x14ac:dyDescent="0.2">
      <c r="A39" s="124" t="s">
        <v>31</v>
      </c>
      <c r="B39" s="125"/>
      <c r="C39" s="125" t="s">
        <v>145</v>
      </c>
      <c r="D39" s="125" t="s">
        <v>172</v>
      </c>
      <c r="E39" s="125" t="s">
        <v>147</v>
      </c>
      <c r="F39" s="125" t="s">
        <v>145</v>
      </c>
      <c r="G39" s="125" t="s">
        <v>145</v>
      </c>
      <c r="H39" s="44">
        <f>SUM(H40:H46)</f>
        <v>130500</v>
      </c>
      <c r="I39" s="232" t="s">
        <v>254</v>
      </c>
      <c r="J39" s="44">
        <f>SUM(J40:J46)</f>
        <v>54169.899999999994</v>
      </c>
      <c r="K39" s="44">
        <f>SUM(K40:K46)</f>
        <v>0</v>
      </c>
      <c r="L39" s="44">
        <f>SUM(L40:L46)</f>
        <v>0</v>
      </c>
      <c r="M39" s="44">
        <f>SUM(M40:M46)</f>
        <v>54169.899999999994</v>
      </c>
      <c r="N39" s="44">
        <f>SUM(N40:N46)</f>
        <v>76330.100000000006</v>
      </c>
      <c r="O39" s="44"/>
    </row>
    <row r="40" spans="1:15" s="51" customFormat="1" ht="19.5" customHeight="1" x14ac:dyDescent="0.2">
      <c r="A40" s="165" t="s">
        <v>19</v>
      </c>
      <c r="B40" s="166"/>
      <c r="C40" s="128" t="s">
        <v>245</v>
      </c>
      <c r="D40" s="166" t="s">
        <v>172</v>
      </c>
      <c r="E40" s="166" t="s">
        <v>173</v>
      </c>
      <c r="F40" s="166" t="s">
        <v>290</v>
      </c>
      <c r="G40" s="166" t="s">
        <v>150</v>
      </c>
      <c r="H40" s="73">
        <v>89600</v>
      </c>
      <c r="I40" s="233" t="s">
        <v>254</v>
      </c>
      <c r="J40" s="246">
        <f>4900+872+13422.14+939.07+6711.07+4900+872+939.07+4900+872</f>
        <v>39327.35</v>
      </c>
      <c r="K40" s="73"/>
      <c r="L40" s="73"/>
      <c r="M40" s="73">
        <f>SUM(J40:L40)</f>
        <v>39327.35</v>
      </c>
      <c r="N40" s="73">
        <f t="shared" si="1"/>
        <v>50272.65</v>
      </c>
      <c r="O40" s="73"/>
    </row>
    <row r="41" spans="1:15" s="51" customFormat="1" ht="19.5" customHeight="1" x14ac:dyDescent="0.2">
      <c r="A41" s="162" t="s">
        <v>20</v>
      </c>
      <c r="B41" s="128"/>
      <c r="C41" s="128" t="s">
        <v>245</v>
      </c>
      <c r="D41" s="166" t="s">
        <v>172</v>
      </c>
      <c r="E41" s="166" t="s">
        <v>173</v>
      </c>
      <c r="F41" s="166" t="s">
        <v>290</v>
      </c>
      <c r="G41" s="128" t="s">
        <v>151</v>
      </c>
      <c r="H41" s="73">
        <v>27000</v>
      </c>
      <c r="I41" s="233" t="s">
        <v>254</v>
      </c>
      <c r="J41" s="73">
        <f>2013.31+3874.25+2013.33+2013.33+2013.33</f>
        <v>11927.55</v>
      </c>
      <c r="K41" s="73"/>
      <c r="L41" s="73"/>
      <c r="M41" s="73">
        <f>SUM(J41:L41)</f>
        <v>11927.55</v>
      </c>
      <c r="N41" s="73">
        <f t="shared" si="1"/>
        <v>15072.45</v>
      </c>
      <c r="O41" s="73"/>
    </row>
    <row r="42" spans="1:15" s="51" customFormat="1" ht="19.5" customHeight="1" x14ac:dyDescent="0.2">
      <c r="A42" s="162" t="s">
        <v>23</v>
      </c>
      <c r="B42" s="128"/>
      <c r="C42" s="128" t="s">
        <v>245</v>
      </c>
      <c r="D42" s="166" t="s">
        <v>172</v>
      </c>
      <c r="E42" s="166" t="s">
        <v>173</v>
      </c>
      <c r="F42" s="166" t="s">
        <v>79</v>
      </c>
      <c r="G42" s="128" t="s">
        <v>162</v>
      </c>
      <c r="H42" s="73"/>
      <c r="I42" s="233" t="s">
        <v>254</v>
      </c>
      <c r="J42" s="73"/>
      <c r="K42" s="73"/>
      <c r="L42" s="73"/>
      <c r="M42" s="73">
        <f t="shared" si="0"/>
        <v>0</v>
      </c>
      <c r="N42" s="73">
        <f t="shared" si="1"/>
        <v>0</v>
      </c>
      <c r="O42" s="73"/>
    </row>
    <row r="43" spans="1:15" s="51" customFormat="1" ht="19.5" customHeight="1" x14ac:dyDescent="0.2">
      <c r="A43" s="162" t="s">
        <v>24</v>
      </c>
      <c r="B43" s="128"/>
      <c r="C43" s="128" t="s">
        <v>245</v>
      </c>
      <c r="D43" s="166" t="s">
        <v>172</v>
      </c>
      <c r="E43" s="166" t="s">
        <v>173</v>
      </c>
      <c r="F43" s="166" t="s">
        <v>292</v>
      </c>
      <c r="G43" s="128" t="s">
        <v>163</v>
      </c>
      <c r="H43" s="73">
        <v>2000</v>
      </c>
      <c r="I43" s="233" t="s">
        <v>254</v>
      </c>
      <c r="J43" s="255">
        <f>640+640</f>
        <v>1280</v>
      </c>
      <c r="K43" s="73"/>
      <c r="L43" s="73"/>
      <c r="M43" s="73">
        <f>SUM(J43:L43)</f>
        <v>1280</v>
      </c>
      <c r="N43" s="73">
        <f>SUM(H43-M43)</f>
        <v>720</v>
      </c>
      <c r="O43" s="73"/>
    </row>
    <row r="44" spans="1:15" s="68" customFormat="1" ht="19.5" customHeight="1" x14ac:dyDescent="0.2">
      <c r="A44" s="162" t="s">
        <v>27</v>
      </c>
      <c r="B44" s="114"/>
      <c r="C44" s="128" t="s">
        <v>245</v>
      </c>
      <c r="D44" s="196" t="s">
        <v>246</v>
      </c>
      <c r="E44" s="196" t="s">
        <v>173</v>
      </c>
      <c r="F44" s="196" t="s">
        <v>79</v>
      </c>
      <c r="G44" s="128" t="s">
        <v>166</v>
      </c>
      <c r="H44" s="120"/>
      <c r="I44" s="238" t="s">
        <v>254</v>
      </c>
      <c r="J44" s="120"/>
      <c r="K44" s="120"/>
      <c r="L44" s="120"/>
      <c r="M44" s="85">
        <f>SUM(J44:L44)</f>
        <v>0</v>
      </c>
      <c r="N44" s="85">
        <f>SUM(H44-M44)</f>
        <v>0</v>
      </c>
      <c r="O44" s="85"/>
    </row>
    <row r="45" spans="1:15" s="51" customFormat="1" ht="19.5" customHeight="1" x14ac:dyDescent="0.2">
      <c r="A45" s="162" t="s">
        <v>30</v>
      </c>
      <c r="B45" s="128"/>
      <c r="C45" s="128" t="s">
        <v>245</v>
      </c>
      <c r="D45" s="166" t="s">
        <v>172</v>
      </c>
      <c r="E45" s="166" t="s">
        <v>173</v>
      </c>
      <c r="F45" s="166" t="s">
        <v>79</v>
      </c>
      <c r="G45" s="128" t="s">
        <v>168</v>
      </c>
      <c r="H45" s="73"/>
      <c r="I45" s="233" t="s">
        <v>254</v>
      </c>
      <c r="J45" s="73"/>
      <c r="K45" s="73"/>
      <c r="L45" s="73"/>
      <c r="M45" s="73">
        <f>SUM(J45:L45)</f>
        <v>0</v>
      </c>
      <c r="N45" s="73">
        <f>SUM(H45-M45)</f>
        <v>0</v>
      </c>
      <c r="O45" s="73"/>
    </row>
    <row r="46" spans="1:15" s="51" customFormat="1" ht="19.5" customHeight="1" x14ac:dyDescent="0.2">
      <c r="A46" s="162" t="s">
        <v>30</v>
      </c>
      <c r="B46" s="128"/>
      <c r="C46" s="128" t="s">
        <v>245</v>
      </c>
      <c r="D46" s="166" t="s">
        <v>172</v>
      </c>
      <c r="E46" s="166" t="s">
        <v>173</v>
      </c>
      <c r="F46" s="166" t="s">
        <v>292</v>
      </c>
      <c r="G46" s="128" t="s">
        <v>169</v>
      </c>
      <c r="H46" s="73">
        <v>11900</v>
      </c>
      <c r="I46" s="233" t="s">
        <v>254</v>
      </c>
      <c r="J46" s="73">
        <f>1635</f>
        <v>1635</v>
      </c>
      <c r="K46" s="73"/>
      <c r="L46" s="73"/>
      <c r="M46" s="73">
        <f>SUM(J46:L46)</f>
        <v>1635</v>
      </c>
      <c r="N46" s="73">
        <f>SUM(H46-M46)</f>
        <v>10265</v>
      </c>
      <c r="O46" s="73"/>
    </row>
    <row r="47" spans="1:15" s="68" customFormat="1" ht="27.75" customHeight="1" x14ac:dyDescent="0.2">
      <c r="A47" s="121" t="s">
        <v>102</v>
      </c>
      <c r="B47" s="12"/>
      <c r="C47" s="12" t="s">
        <v>145</v>
      </c>
      <c r="D47" s="12" t="s">
        <v>174</v>
      </c>
      <c r="E47" s="12" t="s">
        <v>147</v>
      </c>
      <c r="F47" s="12" t="s">
        <v>145</v>
      </c>
      <c r="G47" s="12" t="s">
        <v>145</v>
      </c>
      <c r="H47" s="123">
        <f>SUM(H57+H61+H65+H48)</f>
        <v>60000</v>
      </c>
      <c r="I47" s="239" t="s">
        <v>254</v>
      </c>
      <c r="J47" s="123">
        <f>SUM(J57+J61+J65+J48)</f>
        <v>0</v>
      </c>
      <c r="K47" s="123">
        <f>SUM(K57+K61+K65+K48)</f>
        <v>0</v>
      </c>
      <c r="L47" s="123">
        <f>SUM(L57+L61+L65+L48)</f>
        <v>0</v>
      </c>
      <c r="M47" s="123">
        <f>SUM(M57+M61+M65+M48)</f>
        <v>0</v>
      </c>
      <c r="N47" s="123">
        <f>SUM(N57+N61+N65+N48)</f>
        <v>40000</v>
      </c>
      <c r="O47" s="123"/>
    </row>
    <row r="48" spans="1:15" s="68" customFormat="1" ht="45" x14ac:dyDescent="0.2">
      <c r="A48" s="111" t="s">
        <v>136</v>
      </c>
      <c r="B48" s="195"/>
      <c r="C48" s="195" t="s">
        <v>145</v>
      </c>
      <c r="D48" s="195" t="s">
        <v>297</v>
      </c>
      <c r="E48" s="195" t="s">
        <v>147</v>
      </c>
      <c r="F48" s="195" t="s">
        <v>145</v>
      </c>
      <c r="G48" s="195" t="s">
        <v>145</v>
      </c>
      <c r="H48" s="84">
        <f>SUM(H49+H51+H50)</f>
        <v>20000</v>
      </c>
      <c r="I48" s="240" t="s">
        <v>254</v>
      </c>
      <c r="J48" s="84">
        <f>SUM(J49+J51+J50)</f>
        <v>0</v>
      </c>
      <c r="K48" s="84">
        <f>SUM(K49+K50)</f>
        <v>0</v>
      </c>
      <c r="L48" s="84">
        <f>SUM(L49+L50)</f>
        <v>0</v>
      </c>
      <c r="M48" s="84">
        <f>SUM(M49+M50)</f>
        <v>0</v>
      </c>
      <c r="N48" s="84">
        <f>SUM(N49+N50)</f>
        <v>20000</v>
      </c>
      <c r="O48" s="84"/>
    </row>
    <row r="49" spans="1:15" s="51" customFormat="1" ht="19.5" customHeight="1" x14ac:dyDescent="0.2">
      <c r="A49" s="162" t="s">
        <v>27</v>
      </c>
      <c r="B49" s="128"/>
      <c r="C49" s="128" t="s">
        <v>245</v>
      </c>
      <c r="D49" s="128" t="s">
        <v>297</v>
      </c>
      <c r="E49" s="128" t="s">
        <v>298</v>
      </c>
      <c r="F49" s="128" t="s">
        <v>292</v>
      </c>
      <c r="G49" s="128" t="s">
        <v>166</v>
      </c>
      <c r="H49" s="73">
        <v>20000</v>
      </c>
      <c r="I49" s="233" t="s">
        <v>254</v>
      </c>
      <c r="J49" s="73"/>
      <c r="K49" s="73"/>
      <c r="L49" s="73"/>
      <c r="M49" s="73">
        <f>SUM(J49:L49)</f>
        <v>0</v>
      </c>
      <c r="N49" s="73">
        <f>SUM(H49-M49)</f>
        <v>20000</v>
      </c>
      <c r="O49" s="73"/>
    </row>
    <row r="50" spans="1:15" s="51" customFormat="1" ht="19.5" customHeight="1" x14ac:dyDescent="0.2">
      <c r="A50" s="112" t="s">
        <v>309</v>
      </c>
      <c r="B50" s="128"/>
      <c r="C50" s="128" t="s">
        <v>245</v>
      </c>
      <c r="D50" s="128" t="s">
        <v>297</v>
      </c>
      <c r="E50" s="128" t="s">
        <v>298</v>
      </c>
      <c r="F50" s="128" t="s">
        <v>292</v>
      </c>
      <c r="G50" s="128" t="s">
        <v>168</v>
      </c>
      <c r="H50" s="73"/>
      <c r="I50" s="233" t="s">
        <v>254</v>
      </c>
      <c r="J50" s="246"/>
      <c r="K50" s="73"/>
      <c r="L50" s="73"/>
      <c r="M50" s="73">
        <f>SUM(J50:L50)</f>
        <v>0</v>
      </c>
      <c r="N50" s="73">
        <f>SUM(H50-M50)</f>
        <v>0</v>
      </c>
      <c r="O50" s="73"/>
    </row>
    <row r="51" spans="1:15" s="51" customFormat="1" ht="19.5" customHeight="1" x14ac:dyDescent="0.2">
      <c r="A51" s="112" t="s">
        <v>326</v>
      </c>
      <c r="B51" s="128"/>
      <c r="C51" s="128" t="s">
        <v>245</v>
      </c>
      <c r="D51" s="128" t="s">
        <v>297</v>
      </c>
      <c r="E51" s="128" t="s">
        <v>298</v>
      </c>
      <c r="F51" s="128" t="s">
        <v>292</v>
      </c>
      <c r="G51" s="128" t="s">
        <v>169</v>
      </c>
      <c r="H51" s="73"/>
      <c r="I51" s="233" t="s">
        <v>254</v>
      </c>
      <c r="J51" s="246"/>
      <c r="K51" s="73"/>
      <c r="L51" s="73"/>
      <c r="M51" s="73">
        <f>SUM(J51:L51)</f>
        <v>0</v>
      </c>
      <c r="N51" s="73">
        <f>SUM(H51-M51)</f>
        <v>0</v>
      </c>
      <c r="O51" s="73"/>
    </row>
    <row r="52" spans="1:15" s="68" customFormat="1" ht="19.5" customHeight="1" x14ac:dyDescent="0.2">
      <c r="A52" s="118" t="s">
        <v>81</v>
      </c>
      <c r="B52" s="114"/>
      <c r="C52" s="195" t="s">
        <v>145</v>
      </c>
      <c r="D52" s="125" t="s">
        <v>307</v>
      </c>
      <c r="E52" s="195" t="s">
        <v>147</v>
      </c>
      <c r="F52" s="195" t="s">
        <v>145</v>
      </c>
      <c r="G52" s="195" t="s">
        <v>145</v>
      </c>
      <c r="H52" s="120">
        <f>SUM(H53:H56)</f>
        <v>5600</v>
      </c>
      <c r="I52" s="238" t="s">
        <v>254</v>
      </c>
      <c r="J52" s="120">
        <f>SUM(J53:J56)</f>
        <v>0</v>
      </c>
      <c r="K52" s="120">
        <f>SUM(K53:K56)</f>
        <v>0</v>
      </c>
      <c r="L52" s="120">
        <f>SUM(L53:L56)</f>
        <v>0</v>
      </c>
      <c r="M52" s="120">
        <f>SUM(M53:M56)</f>
        <v>0</v>
      </c>
      <c r="N52" s="120">
        <f>SUM(N53:N56)</f>
        <v>5600</v>
      </c>
      <c r="O52" s="120"/>
    </row>
    <row r="53" spans="1:15" s="68" customFormat="1" ht="19.5" customHeight="1" x14ac:dyDescent="0.2">
      <c r="A53" s="162" t="s">
        <v>27</v>
      </c>
      <c r="B53" s="114"/>
      <c r="C53" s="128" t="s">
        <v>245</v>
      </c>
      <c r="D53" s="196" t="s">
        <v>307</v>
      </c>
      <c r="E53" s="196" t="s">
        <v>340</v>
      </c>
      <c r="F53" s="196" t="s">
        <v>292</v>
      </c>
      <c r="G53" s="128" t="s">
        <v>166</v>
      </c>
      <c r="H53" s="120"/>
      <c r="I53" s="238" t="s">
        <v>254</v>
      </c>
      <c r="J53" s="120"/>
      <c r="K53" s="120"/>
      <c r="L53" s="120"/>
      <c r="M53" s="85">
        <f>SUM(J53:L53)</f>
        <v>0</v>
      </c>
      <c r="N53" s="85">
        <f>SUM(H53-M53)</f>
        <v>0</v>
      </c>
      <c r="O53" s="85"/>
    </row>
    <row r="54" spans="1:15" s="163" customFormat="1" ht="19.5" customHeight="1" x14ac:dyDescent="0.2">
      <c r="A54" s="112" t="s">
        <v>29</v>
      </c>
      <c r="B54" s="196"/>
      <c r="C54" s="128" t="s">
        <v>245</v>
      </c>
      <c r="D54" s="196" t="s">
        <v>307</v>
      </c>
      <c r="E54" s="196" t="s">
        <v>340</v>
      </c>
      <c r="F54" s="196" t="s">
        <v>292</v>
      </c>
      <c r="G54" s="196" t="s">
        <v>168</v>
      </c>
      <c r="H54" s="117"/>
      <c r="I54" s="237" t="s">
        <v>254</v>
      </c>
      <c r="J54" s="117"/>
      <c r="K54" s="117"/>
      <c r="L54" s="119"/>
      <c r="M54" s="85">
        <f>SUM(J54:L54)</f>
        <v>0</v>
      </c>
      <c r="N54" s="85">
        <f>SUM(H54-M54)</f>
        <v>0</v>
      </c>
      <c r="O54" s="85"/>
    </row>
    <row r="55" spans="1:15" s="68" customFormat="1" ht="19.5" customHeight="1" x14ac:dyDescent="0.2">
      <c r="A55" s="112" t="s">
        <v>30</v>
      </c>
      <c r="B55" s="196"/>
      <c r="C55" s="128" t="s">
        <v>245</v>
      </c>
      <c r="D55" s="196" t="s">
        <v>307</v>
      </c>
      <c r="E55" s="196" t="s">
        <v>340</v>
      </c>
      <c r="F55" s="196" t="s">
        <v>179</v>
      </c>
      <c r="G55" s="196" t="s">
        <v>169</v>
      </c>
      <c r="H55" s="117"/>
      <c r="I55" s="237" t="s">
        <v>254</v>
      </c>
      <c r="J55" s="247"/>
      <c r="K55" s="117"/>
      <c r="L55" s="119"/>
      <c r="M55" s="73">
        <f>SUM(J55:L55)</f>
        <v>0</v>
      </c>
      <c r="N55" s="73">
        <f>SUM(H55-M55)</f>
        <v>0</v>
      </c>
      <c r="O55" s="73"/>
    </row>
    <row r="56" spans="1:15" s="68" customFormat="1" ht="19.5" customHeight="1" x14ac:dyDescent="0.2">
      <c r="A56" s="112" t="s">
        <v>30</v>
      </c>
      <c r="B56" s="196"/>
      <c r="C56" s="128" t="s">
        <v>245</v>
      </c>
      <c r="D56" s="196" t="s">
        <v>307</v>
      </c>
      <c r="E56" s="196" t="s">
        <v>340</v>
      </c>
      <c r="F56" s="196" t="s">
        <v>292</v>
      </c>
      <c r="G56" s="196" t="s">
        <v>169</v>
      </c>
      <c r="H56" s="117">
        <v>5600</v>
      </c>
      <c r="I56" s="237" t="s">
        <v>254</v>
      </c>
      <c r="J56" s="247"/>
      <c r="K56" s="117"/>
      <c r="L56" s="119"/>
      <c r="M56" s="73">
        <f>SUM(J56:L56)</f>
        <v>0</v>
      </c>
      <c r="N56" s="73">
        <f>SUM(H56-M56)</f>
        <v>5600</v>
      </c>
      <c r="O56" s="73"/>
    </row>
    <row r="57" spans="1:15" s="68" customFormat="1" ht="45" x14ac:dyDescent="0.2">
      <c r="A57" s="111" t="s">
        <v>136</v>
      </c>
      <c r="B57" s="195"/>
      <c r="C57" s="195" t="s">
        <v>145</v>
      </c>
      <c r="D57" s="195" t="s">
        <v>175</v>
      </c>
      <c r="E57" s="195" t="s">
        <v>147</v>
      </c>
      <c r="F57" s="195" t="s">
        <v>145</v>
      </c>
      <c r="G57" s="195" t="s">
        <v>145</v>
      </c>
      <c r="H57" s="84">
        <f>SUM(H59+H58+H60)</f>
        <v>20000</v>
      </c>
      <c r="I57" s="240" t="s">
        <v>254</v>
      </c>
      <c r="J57" s="84">
        <f>SUM(J59+J58+J60)</f>
        <v>0</v>
      </c>
      <c r="K57" s="84">
        <f>SUM(K59+K60)</f>
        <v>0</v>
      </c>
      <c r="L57" s="84">
        <f>SUM(L59+L60)</f>
        <v>0</v>
      </c>
      <c r="M57" s="84">
        <f>SUM(M59+M60)</f>
        <v>0</v>
      </c>
      <c r="N57" s="84">
        <f>SUM(N59+N58)</f>
        <v>0</v>
      </c>
      <c r="O57" s="84"/>
    </row>
    <row r="58" spans="1:15" s="51" customFormat="1" ht="19.5" customHeight="1" x14ac:dyDescent="0.2">
      <c r="A58" s="162" t="s">
        <v>27</v>
      </c>
      <c r="B58" s="128"/>
      <c r="C58" s="128" t="s">
        <v>245</v>
      </c>
      <c r="D58" s="128" t="s">
        <v>175</v>
      </c>
      <c r="E58" s="128" t="s">
        <v>176</v>
      </c>
      <c r="F58" s="128" t="s">
        <v>292</v>
      </c>
      <c r="G58" s="128" t="s">
        <v>165</v>
      </c>
      <c r="H58" s="73"/>
      <c r="I58" s="233" t="s">
        <v>254</v>
      </c>
      <c r="J58" s="73"/>
      <c r="K58" s="73"/>
      <c r="L58" s="73"/>
      <c r="M58" s="73">
        <f>SUM(J58:L58)</f>
        <v>0</v>
      </c>
      <c r="N58" s="73">
        <f>SUM(H58-M58)</f>
        <v>0</v>
      </c>
      <c r="O58" s="73"/>
    </row>
    <row r="59" spans="1:15" s="51" customFormat="1" ht="19.5" customHeight="1" x14ac:dyDescent="0.2">
      <c r="A59" s="162" t="s">
        <v>27</v>
      </c>
      <c r="B59" s="128"/>
      <c r="C59" s="128" t="s">
        <v>245</v>
      </c>
      <c r="D59" s="128" t="s">
        <v>175</v>
      </c>
      <c r="E59" s="128" t="s">
        <v>176</v>
      </c>
      <c r="F59" s="128" t="s">
        <v>292</v>
      </c>
      <c r="G59" s="128" t="s">
        <v>166</v>
      </c>
      <c r="H59" s="73"/>
      <c r="I59" s="233" t="s">
        <v>254</v>
      </c>
      <c r="J59" s="73"/>
      <c r="K59" s="73"/>
      <c r="L59" s="73"/>
      <c r="M59" s="73">
        <f>SUM(J59:L59)</f>
        <v>0</v>
      </c>
      <c r="N59" s="73">
        <f>SUM(H59-M59)</f>
        <v>0</v>
      </c>
      <c r="O59" s="73"/>
    </row>
    <row r="60" spans="1:15" s="51" customFormat="1" ht="19.5" customHeight="1" x14ac:dyDescent="0.2">
      <c r="A60" s="112" t="s">
        <v>30</v>
      </c>
      <c r="B60" s="128"/>
      <c r="C60" s="128" t="s">
        <v>245</v>
      </c>
      <c r="D60" s="128" t="s">
        <v>175</v>
      </c>
      <c r="E60" s="128" t="s">
        <v>176</v>
      </c>
      <c r="F60" s="128" t="s">
        <v>292</v>
      </c>
      <c r="G60" s="128" t="s">
        <v>168</v>
      </c>
      <c r="H60" s="73">
        <v>20000</v>
      </c>
      <c r="I60" s="233" t="s">
        <v>254</v>
      </c>
      <c r="J60" s="246"/>
      <c r="K60" s="73"/>
      <c r="L60" s="73"/>
      <c r="M60" s="73">
        <f>SUM(J60:L60)</f>
        <v>0</v>
      </c>
      <c r="N60" s="73">
        <f>SUM(H60-M60)</f>
        <v>20000</v>
      </c>
      <c r="O60" s="73"/>
    </row>
    <row r="61" spans="1:15" s="90" customFormat="1" ht="15.75" x14ac:dyDescent="0.2">
      <c r="A61" s="222" t="s">
        <v>219</v>
      </c>
      <c r="B61" s="223"/>
      <c r="C61" s="223" t="s">
        <v>145</v>
      </c>
      <c r="D61" s="223" t="s">
        <v>218</v>
      </c>
      <c r="E61" s="223" t="s">
        <v>147</v>
      </c>
      <c r="F61" s="223" t="s">
        <v>145</v>
      </c>
      <c r="G61" s="223" t="s">
        <v>145</v>
      </c>
      <c r="H61" s="224">
        <f>SUM(H62+H63)</f>
        <v>20000</v>
      </c>
      <c r="I61" s="241" t="s">
        <v>254</v>
      </c>
      <c r="J61" s="224">
        <f>SUM(J62+J63)</f>
        <v>0</v>
      </c>
      <c r="K61" s="224">
        <f>SUM(K62+K64)</f>
        <v>0</v>
      </c>
      <c r="L61" s="224">
        <f>SUM(L62+L64)</f>
        <v>0</v>
      </c>
      <c r="M61" s="224">
        <f>SUM(M62+M63)</f>
        <v>0</v>
      </c>
      <c r="N61" s="224">
        <f>SUM(N62+N63)</f>
        <v>20000</v>
      </c>
      <c r="O61" s="224"/>
    </row>
    <row r="62" spans="1:15" s="51" customFormat="1" ht="17.25" customHeight="1" x14ac:dyDescent="0.2">
      <c r="A62" s="162" t="s">
        <v>37</v>
      </c>
      <c r="B62" s="128"/>
      <c r="C62" s="128" t="s">
        <v>245</v>
      </c>
      <c r="D62" s="128" t="s">
        <v>218</v>
      </c>
      <c r="E62" s="128" t="s">
        <v>220</v>
      </c>
      <c r="F62" s="128" t="s">
        <v>292</v>
      </c>
      <c r="G62" s="128" t="s">
        <v>165</v>
      </c>
      <c r="H62" s="73"/>
      <c r="I62" s="233" t="s">
        <v>254</v>
      </c>
      <c r="J62" s="73"/>
      <c r="K62" s="73"/>
      <c r="L62" s="73"/>
      <c r="M62" s="73">
        <f>SUM(J62:L62)</f>
        <v>0</v>
      </c>
      <c r="N62" s="73">
        <f>SUM(H62-M62)</f>
        <v>0</v>
      </c>
      <c r="O62" s="73"/>
    </row>
    <row r="63" spans="1:15" s="51" customFormat="1" ht="17.25" customHeight="1" x14ac:dyDescent="0.2">
      <c r="A63" s="162" t="s">
        <v>37</v>
      </c>
      <c r="B63" s="128"/>
      <c r="C63" s="128" t="s">
        <v>245</v>
      </c>
      <c r="D63" s="128" t="s">
        <v>218</v>
      </c>
      <c r="E63" s="128" t="s">
        <v>220</v>
      </c>
      <c r="F63" s="128" t="s">
        <v>292</v>
      </c>
      <c r="G63" s="128" t="s">
        <v>166</v>
      </c>
      <c r="H63" s="73">
        <v>20000</v>
      </c>
      <c r="I63" s="233" t="s">
        <v>254</v>
      </c>
      <c r="J63" s="73"/>
      <c r="K63" s="73"/>
      <c r="L63" s="73"/>
      <c r="M63" s="73">
        <f>SUM(J63:L63)</f>
        <v>0</v>
      </c>
      <c r="N63" s="73">
        <f>SUM(H63-M63)</f>
        <v>20000</v>
      </c>
      <c r="O63" s="73"/>
    </row>
    <row r="64" spans="1:15" s="51" customFormat="1" x14ac:dyDescent="0.2">
      <c r="A64" s="112" t="s">
        <v>30</v>
      </c>
      <c r="B64" s="128"/>
      <c r="C64" s="128" t="s">
        <v>245</v>
      </c>
      <c r="D64" s="128" t="s">
        <v>218</v>
      </c>
      <c r="E64" s="128" t="s">
        <v>220</v>
      </c>
      <c r="F64" s="128" t="s">
        <v>199</v>
      </c>
      <c r="G64" s="128" t="s">
        <v>169</v>
      </c>
      <c r="H64" s="73"/>
      <c r="I64" s="233" t="s">
        <v>254</v>
      </c>
      <c r="J64" s="73"/>
      <c r="K64" s="73"/>
      <c r="L64" s="73"/>
      <c r="M64" s="73">
        <f>SUM(J64:L64)</f>
        <v>0</v>
      </c>
      <c r="N64" s="73">
        <f>SUM(H64-M64)</f>
        <v>0</v>
      </c>
      <c r="O64" s="73"/>
    </row>
    <row r="65" spans="1:15" s="51" customFormat="1" x14ac:dyDescent="0.2">
      <c r="A65" s="112"/>
      <c r="B65" s="128"/>
      <c r="C65" s="128"/>
      <c r="D65" s="128"/>
      <c r="E65" s="128"/>
      <c r="F65" s="128"/>
      <c r="G65" s="128"/>
      <c r="H65" s="224">
        <f>SUM(H66)</f>
        <v>0</v>
      </c>
      <c r="I65" s="233"/>
      <c r="J65" s="224">
        <v>0</v>
      </c>
      <c r="K65" s="73"/>
      <c r="L65" s="73"/>
      <c r="M65" s="73"/>
      <c r="N65" s="73"/>
      <c r="O65" s="73"/>
    </row>
    <row r="66" spans="1:15" s="51" customFormat="1" x14ac:dyDescent="0.2">
      <c r="A66" s="112" t="s">
        <v>30</v>
      </c>
      <c r="B66" s="128"/>
      <c r="C66" s="128" t="s">
        <v>245</v>
      </c>
      <c r="D66" s="128" t="s">
        <v>287</v>
      </c>
      <c r="E66" s="128" t="s">
        <v>288</v>
      </c>
      <c r="F66" s="128" t="s">
        <v>199</v>
      </c>
      <c r="G66" s="128" t="s">
        <v>169</v>
      </c>
      <c r="H66" s="73"/>
      <c r="I66" s="233" t="s">
        <v>254</v>
      </c>
      <c r="J66" s="73"/>
      <c r="K66" s="73"/>
      <c r="L66" s="73"/>
      <c r="M66" s="73">
        <f>SUM(J66:L66)</f>
        <v>0</v>
      </c>
      <c r="N66" s="73">
        <f>SUM(H66-M66)</f>
        <v>0</v>
      </c>
      <c r="O66" s="73"/>
    </row>
    <row r="67" spans="1:15" s="68" customFormat="1" ht="15.75" x14ac:dyDescent="0.2">
      <c r="A67" s="91" t="s">
        <v>32</v>
      </c>
      <c r="B67" s="197"/>
      <c r="C67" s="197" t="s">
        <v>145</v>
      </c>
      <c r="D67" s="197" t="s">
        <v>177</v>
      </c>
      <c r="E67" s="197" t="s">
        <v>147</v>
      </c>
      <c r="F67" s="197" t="s">
        <v>145</v>
      </c>
      <c r="G67" s="197" t="s">
        <v>145</v>
      </c>
      <c r="H67" s="95">
        <f>SUM(H68+H70+H78)</f>
        <v>3562050</v>
      </c>
      <c r="I67" s="242" t="s">
        <v>254</v>
      </c>
      <c r="J67" s="95">
        <f>SUM(J68+J70+J78)</f>
        <v>114476.94</v>
      </c>
      <c r="K67" s="95">
        <f>SUM(K68+K70+K78)</f>
        <v>0</v>
      </c>
      <c r="L67" s="95">
        <f>SUM(L68+L70+L78)</f>
        <v>0</v>
      </c>
      <c r="M67" s="95">
        <f>SUM(M68+M70+M78)</f>
        <v>63276.94</v>
      </c>
      <c r="N67" s="95">
        <f>SUM(N68+N70+N78)</f>
        <v>58473.06</v>
      </c>
      <c r="O67" s="95"/>
    </row>
    <row r="68" spans="1:15" s="90" customFormat="1" ht="15.75" x14ac:dyDescent="0.2">
      <c r="A68" s="222" t="s">
        <v>265</v>
      </c>
      <c r="B68" s="223"/>
      <c r="C68" s="223" t="s">
        <v>145</v>
      </c>
      <c r="D68" s="223" t="s">
        <v>247</v>
      </c>
      <c r="E68" s="223" t="s">
        <v>147</v>
      </c>
      <c r="F68" s="223" t="s">
        <v>145</v>
      </c>
      <c r="G68" s="223" t="s">
        <v>145</v>
      </c>
      <c r="H68" s="224">
        <f>SUM(H69)</f>
        <v>91750</v>
      </c>
      <c r="I68" s="241" t="s">
        <v>254</v>
      </c>
      <c r="J68" s="224">
        <f>SUM(J69)</f>
        <v>35405.74</v>
      </c>
      <c r="K68" s="224">
        <f>SUM(K69)</f>
        <v>0</v>
      </c>
      <c r="L68" s="224">
        <f>SUM(L69)</f>
        <v>0</v>
      </c>
      <c r="M68" s="224">
        <f>SUM(M69)</f>
        <v>35405.74</v>
      </c>
      <c r="N68" s="224">
        <f>SUM(N69)</f>
        <v>56344.26</v>
      </c>
      <c r="O68" s="224"/>
    </row>
    <row r="69" spans="1:15" s="51" customFormat="1" ht="17.25" customHeight="1" x14ac:dyDescent="0.2">
      <c r="A69" s="162" t="s">
        <v>248</v>
      </c>
      <c r="B69" s="128"/>
      <c r="C69" s="128" t="s">
        <v>245</v>
      </c>
      <c r="D69" s="128" t="s">
        <v>247</v>
      </c>
      <c r="E69" s="128" t="s">
        <v>338</v>
      </c>
      <c r="F69" s="128" t="s">
        <v>292</v>
      </c>
      <c r="G69" s="128" t="s">
        <v>166</v>
      </c>
      <c r="H69" s="73">
        <v>91750</v>
      </c>
      <c r="I69" s="233" t="s">
        <v>254</v>
      </c>
      <c r="J69" s="73">
        <f>19416.05+10684.87+5304.82</f>
        <v>35405.74</v>
      </c>
      <c r="K69" s="73"/>
      <c r="L69" s="73"/>
      <c r="M69" s="73">
        <f>SUM(J69:L69)</f>
        <v>35405.74</v>
      </c>
      <c r="N69" s="73">
        <f>SUM(H69-M69)</f>
        <v>56344.26</v>
      </c>
      <c r="O69" s="73"/>
    </row>
    <row r="70" spans="1:15" s="68" customFormat="1" ht="15.75" x14ac:dyDescent="0.2">
      <c r="A70" s="111" t="s">
        <v>299</v>
      </c>
      <c r="B70" s="195"/>
      <c r="C70" s="195" t="s">
        <v>145</v>
      </c>
      <c r="D70" s="195" t="s">
        <v>300</v>
      </c>
      <c r="E70" s="195" t="s">
        <v>147</v>
      </c>
      <c r="F70" s="195" t="s">
        <v>145</v>
      </c>
      <c r="G70" s="195" t="s">
        <v>145</v>
      </c>
      <c r="H70" s="84">
        <f>SUM(H71:H77)</f>
        <v>3470300</v>
      </c>
      <c r="I70" s="240" t="s">
        <v>254</v>
      </c>
      <c r="J70" s="84">
        <f>SUM(J71:J77)</f>
        <v>79071.199999999997</v>
      </c>
      <c r="K70" s="84">
        <f>SUM(K71:K73)</f>
        <v>0</v>
      </c>
      <c r="L70" s="84">
        <f>SUM(L71:L73)</f>
        <v>0</v>
      </c>
      <c r="M70" s="84">
        <f>SUM(M71:M73)</f>
        <v>27871.200000000001</v>
      </c>
      <c r="N70" s="84">
        <f>SUM(N71:N73)</f>
        <v>2128.7999999999993</v>
      </c>
      <c r="O70" s="84"/>
    </row>
    <row r="71" spans="1:15" s="51" customFormat="1" x14ac:dyDescent="0.2">
      <c r="A71" s="167" t="s">
        <v>26</v>
      </c>
      <c r="B71" s="128"/>
      <c r="C71" s="128" t="s">
        <v>245</v>
      </c>
      <c r="D71" s="128" t="s">
        <v>300</v>
      </c>
      <c r="E71" s="128" t="s">
        <v>301</v>
      </c>
      <c r="F71" s="128" t="s">
        <v>292</v>
      </c>
      <c r="G71" s="128" t="s">
        <v>165</v>
      </c>
      <c r="H71" s="73"/>
      <c r="I71" s="233" t="s">
        <v>254</v>
      </c>
      <c r="J71" s="73"/>
      <c r="K71" s="73"/>
      <c r="L71" s="73"/>
      <c r="M71" s="73">
        <f t="shared" ref="M71:M81" si="2">SUM(J71:L71)</f>
        <v>0</v>
      </c>
      <c r="N71" s="73">
        <f t="shared" ref="N71:N81" si="3">SUM(H71-M71)</f>
        <v>0</v>
      </c>
      <c r="O71" s="73"/>
    </row>
    <row r="72" spans="1:15" s="51" customFormat="1" x14ac:dyDescent="0.2">
      <c r="A72" s="162" t="s">
        <v>248</v>
      </c>
      <c r="B72" s="128"/>
      <c r="C72" s="128" t="s">
        <v>245</v>
      </c>
      <c r="D72" s="128" t="s">
        <v>300</v>
      </c>
      <c r="E72" s="128" t="s">
        <v>301</v>
      </c>
      <c r="F72" s="128" t="s">
        <v>292</v>
      </c>
      <c r="G72" s="128" t="s">
        <v>166</v>
      </c>
      <c r="H72" s="73"/>
      <c r="I72" s="233"/>
      <c r="J72" s="73"/>
      <c r="K72" s="73"/>
      <c r="L72" s="73"/>
      <c r="M72" s="73">
        <f t="shared" si="2"/>
        <v>0</v>
      </c>
      <c r="N72" s="73">
        <f t="shared" si="3"/>
        <v>0</v>
      </c>
      <c r="O72" s="73"/>
    </row>
    <row r="73" spans="1:15" s="51" customFormat="1" x14ac:dyDescent="0.2">
      <c r="A73" s="112" t="s">
        <v>30</v>
      </c>
      <c r="B73" s="128"/>
      <c r="C73" s="128" t="s">
        <v>245</v>
      </c>
      <c r="D73" s="128" t="s">
        <v>300</v>
      </c>
      <c r="E73" s="128" t="s">
        <v>301</v>
      </c>
      <c r="F73" s="128" t="s">
        <v>292</v>
      </c>
      <c r="G73" s="128" t="s">
        <v>169</v>
      </c>
      <c r="H73" s="73">
        <v>30000</v>
      </c>
      <c r="I73" s="233" t="s">
        <v>254</v>
      </c>
      <c r="J73" s="73">
        <f>27871.2</f>
        <v>27871.200000000001</v>
      </c>
      <c r="K73" s="73"/>
      <c r="L73" s="73"/>
      <c r="M73" s="73">
        <f t="shared" si="2"/>
        <v>27871.200000000001</v>
      </c>
      <c r="N73" s="73">
        <f t="shared" si="3"/>
        <v>2128.7999999999993</v>
      </c>
      <c r="O73" s="73"/>
    </row>
    <row r="74" spans="1:15" s="51" customFormat="1" x14ac:dyDescent="0.2">
      <c r="A74" s="167" t="s">
        <v>26</v>
      </c>
      <c r="B74" s="128"/>
      <c r="C74" s="128" t="s">
        <v>245</v>
      </c>
      <c r="D74" s="128" t="s">
        <v>300</v>
      </c>
      <c r="E74" s="128" t="s">
        <v>314</v>
      </c>
      <c r="F74" s="128" t="s">
        <v>292</v>
      </c>
      <c r="G74" s="128" t="s">
        <v>165</v>
      </c>
      <c r="H74" s="73">
        <f>561400+678900</f>
        <v>1240300</v>
      </c>
      <c r="I74" s="233" t="s">
        <v>254</v>
      </c>
      <c r="J74" s="73"/>
      <c r="K74" s="73"/>
      <c r="L74" s="73"/>
      <c r="M74" s="73">
        <f t="shared" ref="M74" si="4">SUM(J74:L74)</f>
        <v>0</v>
      </c>
      <c r="N74" s="73">
        <f t="shared" ref="N74" si="5">SUM(H74-M74)</f>
        <v>1240300</v>
      </c>
      <c r="O74" s="73"/>
    </row>
    <row r="75" spans="1:15" s="51" customFormat="1" x14ac:dyDescent="0.2">
      <c r="A75" s="162" t="s">
        <v>248</v>
      </c>
      <c r="B75" s="128"/>
      <c r="C75" s="128" t="s">
        <v>245</v>
      </c>
      <c r="D75" s="128" t="s">
        <v>300</v>
      </c>
      <c r="E75" s="128" t="s">
        <v>314</v>
      </c>
      <c r="F75" s="128" t="s">
        <v>292</v>
      </c>
      <c r="G75" s="128" t="s">
        <v>166</v>
      </c>
      <c r="H75" s="73"/>
      <c r="I75" s="233" t="s">
        <v>254</v>
      </c>
      <c r="J75" s="73"/>
      <c r="K75" s="73"/>
      <c r="L75" s="73"/>
      <c r="M75" s="73">
        <f t="shared" si="2"/>
        <v>0</v>
      </c>
      <c r="N75" s="73">
        <f t="shared" si="3"/>
        <v>0</v>
      </c>
      <c r="O75" s="73"/>
    </row>
    <row r="76" spans="1:15" s="51" customFormat="1" x14ac:dyDescent="0.2">
      <c r="A76" s="112" t="s">
        <v>30</v>
      </c>
      <c r="B76" s="128"/>
      <c r="C76" s="128" t="s">
        <v>245</v>
      </c>
      <c r="D76" s="128" t="s">
        <v>300</v>
      </c>
      <c r="E76" s="128" t="s">
        <v>314</v>
      </c>
      <c r="F76" s="128" t="s">
        <v>292</v>
      </c>
      <c r="G76" s="128" t="s">
        <v>169</v>
      </c>
      <c r="H76" s="73">
        <v>52000</v>
      </c>
      <c r="I76" s="233" t="s">
        <v>254</v>
      </c>
      <c r="J76" s="73">
        <f>51200</f>
        <v>51200</v>
      </c>
      <c r="K76" s="73"/>
      <c r="L76" s="73"/>
      <c r="M76" s="73">
        <f t="shared" ref="M76" si="6">SUM(J76:L76)</f>
        <v>51200</v>
      </c>
      <c r="N76" s="73">
        <f t="shared" ref="N76" si="7">SUM(H76-M76)</f>
        <v>800</v>
      </c>
      <c r="O76" s="73"/>
    </row>
    <row r="77" spans="1:15" s="51" customFormat="1" x14ac:dyDescent="0.2">
      <c r="A77" s="112" t="s">
        <v>29</v>
      </c>
      <c r="B77" s="128"/>
      <c r="C77" s="128" t="s">
        <v>245</v>
      </c>
      <c r="D77" s="128" t="s">
        <v>300</v>
      </c>
      <c r="E77" s="128" t="s">
        <v>314</v>
      </c>
      <c r="F77" s="128" t="s">
        <v>292</v>
      </c>
      <c r="G77" s="128" t="s">
        <v>168</v>
      </c>
      <c r="H77" s="73">
        <f>2200000-52000</f>
        <v>2148000</v>
      </c>
      <c r="I77" s="233" t="s">
        <v>254</v>
      </c>
      <c r="J77" s="73"/>
      <c r="K77" s="73"/>
      <c r="L77" s="73"/>
      <c r="M77" s="73">
        <f t="shared" ref="M77" si="8">SUM(J77:L77)</f>
        <v>0</v>
      </c>
      <c r="N77" s="73">
        <f t="shared" ref="N77" si="9">SUM(H77-M77)</f>
        <v>2148000</v>
      </c>
      <c r="O77" s="73"/>
    </row>
    <row r="78" spans="1:15" s="68" customFormat="1" ht="15.75" x14ac:dyDescent="0.2">
      <c r="A78" s="127" t="s">
        <v>238</v>
      </c>
      <c r="B78" s="195"/>
      <c r="C78" s="195" t="s">
        <v>145</v>
      </c>
      <c r="D78" s="195" t="s">
        <v>237</v>
      </c>
      <c r="E78" s="195" t="s">
        <v>147</v>
      </c>
      <c r="F78" s="195" t="s">
        <v>145</v>
      </c>
      <c r="G78" s="195" t="s">
        <v>145</v>
      </c>
      <c r="H78" s="84"/>
      <c r="I78" s="240" t="s">
        <v>254</v>
      </c>
      <c r="J78" s="84"/>
      <c r="K78" s="84">
        <f>SUM(K79)</f>
        <v>0</v>
      </c>
      <c r="L78" s="84">
        <f>SUM(L79)</f>
        <v>0</v>
      </c>
      <c r="M78" s="84">
        <f t="shared" si="2"/>
        <v>0</v>
      </c>
      <c r="N78" s="84">
        <f t="shared" si="3"/>
        <v>0</v>
      </c>
      <c r="O78" s="84"/>
    </row>
    <row r="79" spans="1:15" s="51" customFormat="1" x14ac:dyDescent="0.2">
      <c r="A79" s="162" t="s">
        <v>37</v>
      </c>
      <c r="B79" s="128"/>
      <c r="C79" s="128" t="s">
        <v>245</v>
      </c>
      <c r="D79" s="128" t="s">
        <v>237</v>
      </c>
      <c r="E79" s="128" t="s">
        <v>239</v>
      </c>
      <c r="F79" s="128" t="s">
        <v>292</v>
      </c>
      <c r="G79" s="128" t="s">
        <v>166</v>
      </c>
      <c r="H79" s="73"/>
      <c r="I79" s="233" t="s">
        <v>254</v>
      </c>
      <c r="J79" s="73"/>
      <c r="K79" s="73"/>
      <c r="L79" s="73"/>
      <c r="M79" s="73">
        <f t="shared" si="2"/>
        <v>0</v>
      </c>
      <c r="N79" s="73">
        <f t="shared" si="3"/>
        <v>0</v>
      </c>
      <c r="O79" s="73"/>
    </row>
    <row r="80" spans="1:15" s="51" customFormat="1" x14ac:dyDescent="0.2">
      <c r="A80" s="162" t="s">
        <v>248</v>
      </c>
      <c r="B80" s="128"/>
      <c r="C80" s="128" t="s">
        <v>245</v>
      </c>
      <c r="D80" s="128" t="s">
        <v>237</v>
      </c>
      <c r="E80" s="128" t="s">
        <v>315</v>
      </c>
      <c r="F80" s="128" t="s">
        <v>292</v>
      </c>
      <c r="G80" s="128" t="s">
        <v>166</v>
      </c>
      <c r="H80" s="73"/>
      <c r="I80" s="233" t="s">
        <v>254</v>
      </c>
      <c r="J80" s="73"/>
      <c r="K80" s="73"/>
      <c r="L80" s="73"/>
      <c r="M80" s="73">
        <f>SUM(J80:L80)</f>
        <v>0</v>
      </c>
      <c r="N80" s="73">
        <f>SUM(H80-M80)</f>
        <v>0</v>
      </c>
      <c r="O80" s="73"/>
    </row>
    <row r="81" spans="1:15" s="68" customFormat="1" ht="15.75" x14ac:dyDescent="0.2">
      <c r="A81" s="91" t="s">
        <v>34</v>
      </c>
      <c r="B81" s="197"/>
      <c r="C81" s="197" t="s">
        <v>145</v>
      </c>
      <c r="D81" s="197" t="s">
        <v>180</v>
      </c>
      <c r="E81" s="197" t="s">
        <v>147</v>
      </c>
      <c r="F81" s="197" t="s">
        <v>145</v>
      </c>
      <c r="G81" s="197" t="s">
        <v>145</v>
      </c>
      <c r="H81" s="95">
        <f>SUM(H82+H87+H97+H118)</f>
        <v>1897500</v>
      </c>
      <c r="I81" s="242" t="s">
        <v>254</v>
      </c>
      <c r="J81" s="95">
        <f>SUM(J82+J87+J97+J118)</f>
        <v>1073424.22</v>
      </c>
      <c r="K81" s="95">
        <f>SUM(K82+K87+K97)</f>
        <v>0</v>
      </c>
      <c r="L81" s="95">
        <f>SUM(L82+L87+L97)</f>
        <v>0</v>
      </c>
      <c r="M81" s="95">
        <f t="shared" si="2"/>
        <v>1073424.22</v>
      </c>
      <c r="N81" s="95">
        <f t="shared" si="3"/>
        <v>824075.78</v>
      </c>
      <c r="O81" s="95"/>
    </row>
    <row r="82" spans="1:15" s="68" customFormat="1" ht="15.75" x14ac:dyDescent="0.2">
      <c r="A82" s="127" t="s">
        <v>35</v>
      </c>
      <c r="B82" s="195"/>
      <c r="C82" s="195" t="s">
        <v>145</v>
      </c>
      <c r="D82" s="195" t="s">
        <v>181</v>
      </c>
      <c r="E82" s="195" t="s">
        <v>147</v>
      </c>
      <c r="F82" s="195" t="s">
        <v>145</v>
      </c>
      <c r="G82" s="195" t="s">
        <v>145</v>
      </c>
      <c r="H82" s="84">
        <f>SUM(H83:H86)</f>
        <v>460000</v>
      </c>
      <c r="I82" s="240" t="s">
        <v>254</v>
      </c>
      <c r="J82" s="84">
        <f>SUM(J83:J86)</f>
        <v>440000</v>
      </c>
      <c r="K82" s="84">
        <f>SUM(K83:K86)</f>
        <v>0</v>
      </c>
      <c r="L82" s="84">
        <f>SUM(L83:L86)</f>
        <v>0</v>
      </c>
      <c r="M82" s="84">
        <f>SUM(M83:M86)</f>
        <v>440000</v>
      </c>
      <c r="N82" s="84">
        <f>SUM(N83:N86)</f>
        <v>20000</v>
      </c>
      <c r="O82" s="84"/>
    </row>
    <row r="83" spans="1:15" s="51" customFormat="1" ht="28.5" x14ac:dyDescent="0.2">
      <c r="A83" s="167" t="s">
        <v>33</v>
      </c>
      <c r="B83" s="128"/>
      <c r="C83" s="128" t="s">
        <v>245</v>
      </c>
      <c r="D83" s="128" t="s">
        <v>181</v>
      </c>
      <c r="E83" s="128" t="s">
        <v>182</v>
      </c>
      <c r="F83" s="128" t="s">
        <v>178</v>
      </c>
      <c r="G83" s="128" t="s">
        <v>183</v>
      </c>
      <c r="H83" s="73"/>
      <c r="I83" s="233" t="s">
        <v>254</v>
      </c>
      <c r="J83" s="73"/>
      <c r="K83" s="73"/>
      <c r="L83" s="73"/>
      <c r="M83" s="73">
        <f t="shared" ref="M83:M90" si="10">SUM(J83:L83)</f>
        <v>0</v>
      </c>
      <c r="N83" s="73">
        <f t="shared" ref="N83:N91" si="11">SUM(H83-M83)</f>
        <v>0</v>
      </c>
      <c r="O83" s="73"/>
    </row>
    <row r="84" spans="1:15" s="51" customFormat="1" ht="28.5" x14ac:dyDescent="0.2">
      <c r="A84" s="167" t="s">
        <v>230</v>
      </c>
      <c r="B84" s="128"/>
      <c r="C84" s="128" t="s">
        <v>245</v>
      </c>
      <c r="D84" s="128" t="s">
        <v>181</v>
      </c>
      <c r="E84" s="128" t="s">
        <v>184</v>
      </c>
      <c r="F84" s="128" t="s">
        <v>178</v>
      </c>
      <c r="G84" s="128" t="s">
        <v>183</v>
      </c>
      <c r="H84" s="73"/>
      <c r="I84" s="233" t="s">
        <v>254</v>
      </c>
      <c r="J84" s="73"/>
      <c r="K84" s="73"/>
      <c r="L84" s="73"/>
      <c r="M84" s="73">
        <f t="shared" si="10"/>
        <v>0</v>
      </c>
      <c r="N84" s="73">
        <f t="shared" si="11"/>
        <v>0</v>
      </c>
      <c r="O84" s="73"/>
    </row>
    <row r="85" spans="1:15" s="51" customFormat="1" x14ac:dyDescent="0.2">
      <c r="A85" s="162" t="s">
        <v>26</v>
      </c>
      <c r="B85" s="128"/>
      <c r="C85" s="128" t="s">
        <v>245</v>
      </c>
      <c r="D85" s="196" t="s">
        <v>205</v>
      </c>
      <c r="E85" s="196" t="s">
        <v>350</v>
      </c>
      <c r="F85" s="196" t="s">
        <v>304</v>
      </c>
      <c r="G85" s="196" t="s">
        <v>343</v>
      </c>
      <c r="H85" s="73">
        <v>360000</v>
      </c>
      <c r="I85" s="233" t="s">
        <v>254</v>
      </c>
      <c r="J85" s="73">
        <v>340000</v>
      </c>
      <c r="K85" s="73"/>
      <c r="L85" s="73"/>
      <c r="M85" s="73">
        <f t="shared" si="10"/>
        <v>340000</v>
      </c>
      <c r="N85" s="73">
        <f t="shared" si="11"/>
        <v>20000</v>
      </c>
      <c r="O85" s="73"/>
    </row>
    <row r="86" spans="1:15" s="51" customFormat="1" x14ac:dyDescent="0.2">
      <c r="A86" s="162" t="s">
        <v>37</v>
      </c>
      <c r="B86" s="128"/>
      <c r="C86" s="128" t="s">
        <v>245</v>
      </c>
      <c r="D86" s="196" t="s">
        <v>205</v>
      </c>
      <c r="E86" s="196" t="s">
        <v>348</v>
      </c>
      <c r="F86" s="196" t="s">
        <v>349</v>
      </c>
      <c r="G86" s="128" t="s">
        <v>166</v>
      </c>
      <c r="H86" s="73">
        <v>100000</v>
      </c>
      <c r="I86" s="233" t="s">
        <v>254</v>
      </c>
      <c r="J86" s="73">
        <f>50000+50000</f>
        <v>100000</v>
      </c>
      <c r="K86" s="73"/>
      <c r="L86" s="73"/>
      <c r="M86" s="73">
        <f t="shared" si="10"/>
        <v>100000</v>
      </c>
      <c r="N86" s="73">
        <f t="shared" si="11"/>
        <v>0</v>
      </c>
      <c r="O86" s="73"/>
    </row>
    <row r="87" spans="1:15" s="68" customFormat="1" ht="15.75" x14ac:dyDescent="0.2">
      <c r="A87" s="127" t="s">
        <v>36</v>
      </c>
      <c r="B87" s="195"/>
      <c r="C87" s="195" t="s">
        <v>145</v>
      </c>
      <c r="D87" s="195" t="s">
        <v>185</v>
      </c>
      <c r="E87" s="195" t="s">
        <v>147</v>
      </c>
      <c r="F87" s="195" t="s">
        <v>145</v>
      </c>
      <c r="G87" s="195" t="s">
        <v>145</v>
      </c>
      <c r="H87" s="84">
        <f>SUM(H88:H96)</f>
        <v>250000</v>
      </c>
      <c r="I87" s="240" t="s">
        <v>254</v>
      </c>
      <c r="J87" s="84">
        <f>SUM(J88:J96)</f>
        <v>21467.46</v>
      </c>
      <c r="K87" s="84">
        <f>SUM(K88:K95)</f>
        <v>0</v>
      </c>
      <c r="L87" s="84">
        <f>SUM(L88:L95)</f>
        <v>0</v>
      </c>
      <c r="M87" s="84">
        <f t="shared" si="10"/>
        <v>21467.46</v>
      </c>
      <c r="N87" s="84">
        <f t="shared" si="11"/>
        <v>228532.54</v>
      </c>
      <c r="O87" s="84"/>
    </row>
    <row r="88" spans="1:15" s="51" customFormat="1" x14ac:dyDescent="0.2">
      <c r="A88" s="162" t="s">
        <v>37</v>
      </c>
      <c r="B88" s="128"/>
      <c r="C88" s="128" t="s">
        <v>245</v>
      </c>
      <c r="D88" s="128" t="s">
        <v>185</v>
      </c>
      <c r="E88" s="196" t="s">
        <v>352</v>
      </c>
      <c r="F88" s="128" t="s">
        <v>342</v>
      </c>
      <c r="G88" s="128" t="s">
        <v>166</v>
      </c>
      <c r="H88" s="73"/>
      <c r="I88" s="233" t="s">
        <v>254</v>
      </c>
      <c r="J88" s="73"/>
      <c r="K88" s="73"/>
      <c r="L88" s="73"/>
      <c r="M88" s="73">
        <f t="shared" si="10"/>
        <v>0</v>
      </c>
      <c r="N88" s="73">
        <f t="shared" si="11"/>
        <v>0</v>
      </c>
      <c r="O88" s="73"/>
    </row>
    <row r="89" spans="1:15" s="51" customFormat="1" x14ac:dyDescent="0.2">
      <c r="A89" s="167" t="s">
        <v>38</v>
      </c>
      <c r="B89" s="128"/>
      <c r="C89" s="128" t="s">
        <v>245</v>
      </c>
      <c r="D89" s="128" t="s">
        <v>185</v>
      </c>
      <c r="E89" s="196" t="s">
        <v>352</v>
      </c>
      <c r="F89" s="128" t="s">
        <v>342</v>
      </c>
      <c r="G89" s="128" t="s">
        <v>168</v>
      </c>
      <c r="H89" s="51">
        <v>200000</v>
      </c>
      <c r="I89" s="233" t="s">
        <v>254</v>
      </c>
      <c r="J89" s="246"/>
      <c r="K89" s="73"/>
      <c r="L89" s="73"/>
      <c r="M89" s="73">
        <f t="shared" si="10"/>
        <v>0</v>
      </c>
      <c r="N89" s="73">
        <f t="shared" si="11"/>
        <v>200000</v>
      </c>
      <c r="O89" s="73"/>
    </row>
    <row r="90" spans="1:15" s="51" customFormat="1" ht="28.5" x14ac:dyDescent="0.2">
      <c r="A90" s="167" t="s">
        <v>33</v>
      </c>
      <c r="B90" s="128"/>
      <c r="C90" s="128" t="s">
        <v>245</v>
      </c>
      <c r="D90" s="128" t="s">
        <v>185</v>
      </c>
      <c r="E90" s="128" t="s">
        <v>186</v>
      </c>
      <c r="F90" s="128" t="s">
        <v>178</v>
      </c>
      <c r="G90" s="128" t="s">
        <v>183</v>
      </c>
      <c r="H90" s="73"/>
      <c r="I90" s="233" t="s">
        <v>254</v>
      </c>
      <c r="J90" s="246"/>
      <c r="K90" s="73"/>
      <c r="L90" s="73"/>
      <c r="M90" s="73">
        <f t="shared" si="10"/>
        <v>0</v>
      </c>
      <c r="N90" s="73">
        <f t="shared" si="11"/>
        <v>0</v>
      </c>
      <c r="O90" s="73"/>
    </row>
    <row r="91" spans="1:15" s="51" customFormat="1" x14ac:dyDescent="0.2">
      <c r="A91" s="162" t="s">
        <v>26</v>
      </c>
      <c r="B91" s="128"/>
      <c r="C91" s="128" t="s">
        <v>245</v>
      </c>
      <c r="D91" s="128" t="s">
        <v>185</v>
      </c>
      <c r="E91" s="128" t="s">
        <v>186</v>
      </c>
      <c r="F91" s="128" t="s">
        <v>291</v>
      </c>
      <c r="G91" s="128" t="s">
        <v>165</v>
      </c>
      <c r="H91" s="73">
        <v>0</v>
      </c>
      <c r="I91" s="233" t="s">
        <v>254</v>
      </c>
      <c r="J91" s="246"/>
      <c r="K91" s="73"/>
      <c r="L91" s="73"/>
      <c r="M91" s="73"/>
      <c r="N91" s="73">
        <f t="shared" si="11"/>
        <v>0</v>
      </c>
      <c r="O91" s="73"/>
    </row>
    <row r="92" spans="1:15" s="51" customFormat="1" x14ac:dyDescent="0.2">
      <c r="A92" s="162" t="s">
        <v>26</v>
      </c>
      <c r="B92" s="128"/>
      <c r="C92" s="128" t="s">
        <v>245</v>
      </c>
      <c r="D92" s="128" t="s">
        <v>185</v>
      </c>
      <c r="E92" s="128" t="s">
        <v>186</v>
      </c>
      <c r="F92" s="128" t="s">
        <v>292</v>
      </c>
      <c r="G92" s="128" t="s">
        <v>165</v>
      </c>
      <c r="H92" s="73"/>
      <c r="I92" s="233" t="s">
        <v>254</v>
      </c>
      <c r="J92" s="246"/>
      <c r="K92" s="73"/>
      <c r="L92" s="73"/>
      <c r="M92" s="73">
        <f>SUM(J92:L92)</f>
        <v>0</v>
      </c>
      <c r="N92" s="73">
        <f>SUM(H92-M92)</f>
        <v>0</v>
      </c>
      <c r="O92" s="73"/>
    </row>
    <row r="93" spans="1:15" s="51" customFormat="1" x14ac:dyDescent="0.2">
      <c r="A93" s="162" t="s">
        <v>26</v>
      </c>
      <c r="B93" s="128"/>
      <c r="C93" s="128" t="s">
        <v>245</v>
      </c>
      <c r="D93" s="128" t="s">
        <v>185</v>
      </c>
      <c r="E93" s="128" t="s">
        <v>186</v>
      </c>
      <c r="F93" s="128" t="s">
        <v>291</v>
      </c>
      <c r="G93" s="128" t="s">
        <v>165</v>
      </c>
      <c r="H93" s="73">
        <f>50000-10000-11500</f>
        <v>28500</v>
      </c>
      <c r="I93" s="233" t="s">
        <v>254</v>
      </c>
      <c r="J93" s="246"/>
      <c r="K93" s="73"/>
      <c r="L93" s="73"/>
      <c r="M93" s="73">
        <f>SUM(J93:L93)</f>
        <v>0</v>
      </c>
      <c r="N93" s="73">
        <f>SUM(H93-M93)</f>
        <v>28500</v>
      </c>
      <c r="O93" s="73"/>
    </row>
    <row r="94" spans="1:15" s="51" customFormat="1" x14ac:dyDescent="0.2">
      <c r="A94" s="162" t="s">
        <v>37</v>
      </c>
      <c r="B94" s="128"/>
      <c r="C94" s="128" t="s">
        <v>245</v>
      </c>
      <c r="D94" s="128" t="s">
        <v>185</v>
      </c>
      <c r="E94" s="128" t="s">
        <v>186</v>
      </c>
      <c r="F94" s="128" t="s">
        <v>291</v>
      </c>
      <c r="G94" s="128" t="s">
        <v>166</v>
      </c>
      <c r="H94" s="73"/>
      <c r="I94" s="233" t="s">
        <v>254</v>
      </c>
      <c r="J94" s="246"/>
      <c r="K94" s="73"/>
      <c r="L94" s="73"/>
      <c r="M94" s="73">
        <f t="shared" ref="M94:M110" si="12">SUM(J94:L94)</f>
        <v>0</v>
      </c>
      <c r="N94" s="73">
        <f t="shared" ref="N94:N110" si="13">SUM(H94-M94)</f>
        <v>0</v>
      </c>
      <c r="O94" s="73"/>
    </row>
    <row r="95" spans="1:15" s="51" customFormat="1" x14ac:dyDescent="0.2">
      <c r="A95" s="167" t="s">
        <v>38</v>
      </c>
      <c r="B95" s="128"/>
      <c r="C95" s="128" t="s">
        <v>245</v>
      </c>
      <c r="D95" s="128" t="s">
        <v>185</v>
      </c>
      <c r="E95" s="128" t="s">
        <v>186</v>
      </c>
      <c r="F95" s="128" t="s">
        <v>291</v>
      </c>
      <c r="G95" s="128" t="s">
        <v>168</v>
      </c>
      <c r="H95" s="73"/>
      <c r="I95" s="233" t="s">
        <v>254</v>
      </c>
      <c r="J95" s="246"/>
      <c r="K95" s="73"/>
      <c r="L95" s="73"/>
      <c r="M95" s="73">
        <f t="shared" si="12"/>
        <v>0</v>
      </c>
      <c r="N95" s="73">
        <f t="shared" si="13"/>
        <v>0</v>
      </c>
      <c r="O95" s="73"/>
    </row>
    <row r="96" spans="1:15" s="51" customFormat="1" x14ac:dyDescent="0.2">
      <c r="A96" s="167" t="s">
        <v>30</v>
      </c>
      <c r="B96" s="128"/>
      <c r="C96" s="128" t="s">
        <v>245</v>
      </c>
      <c r="D96" s="128" t="s">
        <v>185</v>
      </c>
      <c r="E96" s="128" t="s">
        <v>186</v>
      </c>
      <c r="F96" s="128" t="s">
        <v>291</v>
      </c>
      <c r="G96" s="128" t="s">
        <v>169</v>
      </c>
      <c r="H96" s="73">
        <f>10000+11500</f>
        <v>21500</v>
      </c>
      <c r="I96" s="233" t="s">
        <v>254</v>
      </c>
      <c r="J96" s="246">
        <f>9157.68+12309.78</f>
        <v>21467.46</v>
      </c>
      <c r="K96" s="73"/>
      <c r="L96" s="73"/>
      <c r="M96" s="73">
        <f>SUM(J96:L96)</f>
        <v>21467.46</v>
      </c>
      <c r="N96" s="73">
        <f>SUM(H96-M96)</f>
        <v>32.540000000000873</v>
      </c>
      <c r="O96" s="73"/>
    </row>
    <row r="97" spans="1:15" s="68" customFormat="1" ht="15.75" x14ac:dyDescent="0.2">
      <c r="A97" s="129" t="s">
        <v>39</v>
      </c>
      <c r="B97" s="195"/>
      <c r="C97" s="195" t="s">
        <v>145</v>
      </c>
      <c r="D97" s="195" t="s">
        <v>187</v>
      </c>
      <c r="E97" s="195" t="s">
        <v>147</v>
      </c>
      <c r="F97" s="195" t="s">
        <v>145</v>
      </c>
      <c r="G97" s="195" t="s">
        <v>145</v>
      </c>
      <c r="H97" s="44">
        <f>SUM(H98+H104+H108+H113)</f>
        <v>1184500</v>
      </c>
      <c r="I97" s="232" t="s">
        <v>254</v>
      </c>
      <c r="J97" s="44">
        <f>SUM(J98+J104+J108+J113)</f>
        <v>611956.76</v>
      </c>
      <c r="K97" s="44">
        <f>SUM(K98+K104+K108+K113)</f>
        <v>0</v>
      </c>
      <c r="L97" s="44">
        <f>SUM(L98+L104+L108+L113)</f>
        <v>0</v>
      </c>
      <c r="M97" s="84">
        <f t="shared" si="12"/>
        <v>611956.76</v>
      </c>
      <c r="N97" s="84">
        <f t="shared" si="13"/>
        <v>572543.24</v>
      </c>
      <c r="O97" s="84"/>
    </row>
    <row r="98" spans="1:15" s="68" customFormat="1" ht="15.75" x14ac:dyDescent="0.2">
      <c r="A98" s="127" t="s">
        <v>40</v>
      </c>
      <c r="B98" s="196"/>
      <c r="C98" s="125" t="s">
        <v>145</v>
      </c>
      <c r="D98" s="125" t="s">
        <v>187</v>
      </c>
      <c r="E98" s="125" t="s">
        <v>188</v>
      </c>
      <c r="F98" s="125" t="s">
        <v>145</v>
      </c>
      <c r="G98" s="125" t="s">
        <v>145</v>
      </c>
      <c r="H98" s="44">
        <f>SUM(H99:H103)</f>
        <v>300000</v>
      </c>
      <c r="I98" s="232" t="s">
        <v>254</v>
      </c>
      <c r="J98" s="44">
        <f>SUM(J99:J103)</f>
        <v>73193.73</v>
      </c>
      <c r="K98" s="44">
        <f>SUM(K99:K103)</f>
        <v>0</v>
      </c>
      <c r="L98" s="44">
        <f>SUM(L99:L103)</f>
        <v>0</v>
      </c>
      <c r="M98" s="84">
        <f t="shared" si="12"/>
        <v>73193.73</v>
      </c>
      <c r="N98" s="84">
        <f t="shared" si="13"/>
        <v>226806.27000000002</v>
      </c>
      <c r="O98" s="84"/>
    </row>
    <row r="99" spans="1:15" s="51" customFormat="1" x14ac:dyDescent="0.2">
      <c r="A99" s="162" t="s">
        <v>37</v>
      </c>
      <c r="B99" s="128"/>
      <c r="C99" s="128" t="s">
        <v>245</v>
      </c>
      <c r="D99" s="128" t="s">
        <v>187</v>
      </c>
      <c r="E99" s="128" t="s">
        <v>189</v>
      </c>
      <c r="F99" s="128" t="s">
        <v>292</v>
      </c>
      <c r="G99" s="128" t="s">
        <v>164</v>
      </c>
      <c r="H99" s="73">
        <v>200000</v>
      </c>
      <c r="I99" s="233" t="s">
        <v>254</v>
      </c>
      <c r="J99" s="246">
        <f>9093.67+14477.21+13384.9+8434.88+8447.33+7250.14</f>
        <v>61088.13</v>
      </c>
      <c r="K99" s="73"/>
      <c r="L99" s="73"/>
      <c r="M99" s="73">
        <f t="shared" si="12"/>
        <v>61088.13</v>
      </c>
      <c r="N99" s="73">
        <f t="shared" si="13"/>
        <v>138911.87</v>
      </c>
      <c r="O99" s="73"/>
    </row>
    <row r="100" spans="1:15" s="51" customFormat="1" x14ac:dyDescent="0.2">
      <c r="A100" s="162" t="s">
        <v>44</v>
      </c>
      <c r="B100" s="128"/>
      <c r="C100" s="128" t="s">
        <v>245</v>
      </c>
      <c r="D100" s="128" t="s">
        <v>187</v>
      </c>
      <c r="E100" s="128" t="s">
        <v>189</v>
      </c>
      <c r="F100" s="128" t="s">
        <v>292</v>
      </c>
      <c r="G100" s="128" t="s">
        <v>165</v>
      </c>
      <c r="H100" s="73">
        <v>100000</v>
      </c>
      <c r="I100" s="233" t="s">
        <v>254</v>
      </c>
      <c r="J100" s="246">
        <f>2994.6+648+2604+1305+1953+648+1305+648</f>
        <v>12105.6</v>
      </c>
      <c r="K100" s="73"/>
      <c r="L100" s="73"/>
      <c r="M100" s="73">
        <f>SUM(J100:L100)</f>
        <v>12105.6</v>
      </c>
      <c r="N100" s="73">
        <f>SUM(H100-M100)</f>
        <v>87894.399999999994</v>
      </c>
      <c r="O100" s="73"/>
    </row>
    <row r="101" spans="1:15" s="51" customFormat="1" x14ac:dyDescent="0.2">
      <c r="A101" s="112" t="s">
        <v>37</v>
      </c>
      <c r="B101" s="128"/>
      <c r="C101" s="128" t="s">
        <v>245</v>
      </c>
      <c r="D101" s="128" t="s">
        <v>187</v>
      </c>
      <c r="E101" s="128" t="s">
        <v>189</v>
      </c>
      <c r="F101" s="128" t="s">
        <v>292</v>
      </c>
      <c r="G101" s="128" t="s">
        <v>166</v>
      </c>
      <c r="H101" s="73"/>
      <c r="I101" s="233" t="s">
        <v>254</v>
      </c>
      <c r="J101" s="246"/>
      <c r="K101" s="73"/>
      <c r="L101" s="73"/>
      <c r="M101" s="73">
        <f>SUM(J101:L101)</f>
        <v>0</v>
      </c>
      <c r="N101" s="73">
        <f>SUM(H101-M101)</f>
        <v>0</v>
      </c>
      <c r="O101" s="73"/>
    </row>
    <row r="102" spans="1:15" s="51" customFormat="1" x14ac:dyDescent="0.2">
      <c r="A102" s="162" t="s">
        <v>29</v>
      </c>
      <c r="B102" s="128"/>
      <c r="C102" s="128" t="s">
        <v>245</v>
      </c>
      <c r="D102" s="128" t="s">
        <v>187</v>
      </c>
      <c r="E102" s="128" t="s">
        <v>189</v>
      </c>
      <c r="F102" s="128" t="s">
        <v>79</v>
      </c>
      <c r="G102" s="128" t="s">
        <v>168</v>
      </c>
      <c r="H102" s="73"/>
      <c r="I102" s="233" t="s">
        <v>254</v>
      </c>
      <c r="J102" s="73"/>
      <c r="K102" s="73"/>
      <c r="L102" s="73"/>
      <c r="M102" s="73">
        <f t="shared" si="12"/>
        <v>0</v>
      </c>
      <c r="N102" s="73">
        <f t="shared" si="13"/>
        <v>0</v>
      </c>
      <c r="O102" s="73"/>
    </row>
    <row r="103" spans="1:15" s="51" customFormat="1" x14ac:dyDescent="0.2">
      <c r="A103" s="162" t="s">
        <v>30</v>
      </c>
      <c r="B103" s="128"/>
      <c r="C103" s="128" t="s">
        <v>245</v>
      </c>
      <c r="D103" s="128" t="s">
        <v>187</v>
      </c>
      <c r="E103" s="128" t="s">
        <v>189</v>
      </c>
      <c r="F103" s="128" t="s">
        <v>292</v>
      </c>
      <c r="G103" s="128" t="s">
        <v>169</v>
      </c>
      <c r="H103" s="73">
        <f>50000-50000</f>
        <v>0</v>
      </c>
      <c r="I103" s="233" t="s">
        <v>254</v>
      </c>
      <c r="J103" s="73"/>
      <c r="K103" s="73"/>
      <c r="L103" s="73"/>
      <c r="M103" s="73">
        <f t="shared" si="12"/>
        <v>0</v>
      </c>
      <c r="N103" s="73">
        <f t="shared" si="13"/>
        <v>0</v>
      </c>
      <c r="O103" s="73"/>
    </row>
    <row r="104" spans="1:15" s="68" customFormat="1" ht="15.75" x14ac:dyDescent="0.2">
      <c r="A104" s="111" t="s">
        <v>41</v>
      </c>
      <c r="B104" s="196"/>
      <c r="C104" s="125" t="s">
        <v>145</v>
      </c>
      <c r="D104" s="125" t="s">
        <v>187</v>
      </c>
      <c r="E104" s="125" t="s">
        <v>190</v>
      </c>
      <c r="F104" s="125" t="s">
        <v>145</v>
      </c>
      <c r="G104" s="125" t="s">
        <v>145</v>
      </c>
      <c r="H104" s="44">
        <f>SUM(H105:H107)</f>
        <v>0</v>
      </c>
      <c r="I104" s="232" t="s">
        <v>254</v>
      </c>
      <c r="J104" s="44">
        <f>SUM(J105:J107)</f>
        <v>0</v>
      </c>
      <c r="K104" s="44">
        <f>SUM(K105:K107)</f>
        <v>0</v>
      </c>
      <c r="L104" s="44">
        <f>SUM(L105:L107)</f>
        <v>0</v>
      </c>
      <c r="M104" s="84">
        <f t="shared" si="12"/>
        <v>0</v>
      </c>
      <c r="N104" s="84">
        <f t="shared" si="13"/>
        <v>0</v>
      </c>
      <c r="O104" s="84"/>
    </row>
    <row r="105" spans="1:15" s="51" customFormat="1" x14ac:dyDescent="0.2">
      <c r="A105" s="162" t="s">
        <v>44</v>
      </c>
      <c r="B105" s="128"/>
      <c r="C105" s="128" t="s">
        <v>245</v>
      </c>
      <c r="D105" s="128" t="s">
        <v>187</v>
      </c>
      <c r="E105" s="128" t="s">
        <v>191</v>
      </c>
      <c r="F105" s="128" t="s">
        <v>79</v>
      </c>
      <c r="G105" s="128" t="s">
        <v>165</v>
      </c>
      <c r="H105" s="73"/>
      <c r="I105" s="233" t="s">
        <v>254</v>
      </c>
      <c r="J105" s="246"/>
      <c r="K105" s="73"/>
      <c r="L105" s="73"/>
      <c r="M105" s="73">
        <f t="shared" si="12"/>
        <v>0</v>
      </c>
      <c r="N105" s="73">
        <f t="shared" si="13"/>
        <v>0</v>
      </c>
      <c r="O105" s="73"/>
    </row>
    <row r="106" spans="1:15" s="51" customFormat="1" x14ac:dyDescent="0.2">
      <c r="A106" s="162" t="s">
        <v>30</v>
      </c>
      <c r="B106" s="128"/>
      <c r="C106" s="128" t="s">
        <v>245</v>
      </c>
      <c r="D106" s="128" t="s">
        <v>187</v>
      </c>
      <c r="E106" s="128" t="s">
        <v>191</v>
      </c>
      <c r="F106" s="128" t="s">
        <v>79</v>
      </c>
      <c r="G106" s="128" t="s">
        <v>169</v>
      </c>
      <c r="H106" s="73"/>
      <c r="I106" s="233" t="s">
        <v>254</v>
      </c>
      <c r="J106" s="246"/>
      <c r="K106" s="73"/>
      <c r="L106" s="73" t="s">
        <v>308</v>
      </c>
      <c r="M106" s="73">
        <f t="shared" si="12"/>
        <v>0</v>
      </c>
      <c r="N106" s="73">
        <f t="shared" si="13"/>
        <v>0</v>
      </c>
      <c r="O106" s="73"/>
    </row>
    <row r="107" spans="1:15" s="51" customFormat="1" x14ac:dyDescent="0.2">
      <c r="A107" s="167" t="s">
        <v>38</v>
      </c>
      <c r="B107" s="128"/>
      <c r="C107" s="128" t="s">
        <v>245</v>
      </c>
      <c r="D107" s="128" t="s">
        <v>187</v>
      </c>
      <c r="E107" s="128" t="s">
        <v>191</v>
      </c>
      <c r="F107" s="128" t="s">
        <v>79</v>
      </c>
      <c r="G107" s="128" t="s">
        <v>168</v>
      </c>
      <c r="H107" s="73"/>
      <c r="I107" s="233" t="s">
        <v>254</v>
      </c>
      <c r="J107" s="73"/>
      <c r="K107" s="73"/>
      <c r="L107" s="73"/>
      <c r="M107" s="73">
        <f t="shared" si="12"/>
        <v>0</v>
      </c>
      <c r="N107" s="73">
        <f t="shared" si="13"/>
        <v>0</v>
      </c>
      <c r="O107" s="73"/>
    </row>
    <row r="108" spans="1:15" s="68" customFormat="1" ht="21.75" customHeight="1" x14ac:dyDescent="0.2">
      <c r="A108" s="111" t="s">
        <v>42</v>
      </c>
      <c r="B108" s="196"/>
      <c r="C108" s="125" t="s">
        <v>145</v>
      </c>
      <c r="D108" s="125" t="s">
        <v>187</v>
      </c>
      <c r="E108" s="125" t="s">
        <v>192</v>
      </c>
      <c r="F108" s="125" t="s">
        <v>145</v>
      </c>
      <c r="G108" s="125" t="s">
        <v>145</v>
      </c>
      <c r="H108" s="44">
        <f>SUM(H109+H110+H111+H112)</f>
        <v>113000</v>
      </c>
      <c r="I108" s="232" t="s">
        <v>254</v>
      </c>
      <c r="J108" s="44">
        <f>SUM(J109+J110+J111+J112)</f>
        <v>57549.240000000005</v>
      </c>
      <c r="K108" s="44">
        <f>SUM(K109+K110+K111+K112)</f>
        <v>0</v>
      </c>
      <c r="L108" s="44">
        <f>SUM(L109+L110+L111+L112)</f>
        <v>0</v>
      </c>
      <c r="M108" s="84">
        <f t="shared" si="12"/>
        <v>57549.240000000005</v>
      </c>
      <c r="N108" s="84">
        <f t="shared" si="13"/>
        <v>55450.759999999995</v>
      </c>
      <c r="O108" s="84"/>
    </row>
    <row r="109" spans="1:15" s="51" customFormat="1" x14ac:dyDescent="0.2">
      <c r="A109" s="162" t="s">
        <v>44</v>
      </c>
      <c r="B109" s="128"/>
      <c r="C109" s="128" t="s">
        <v>245</v>
      </c>
      <c r="D109" s="128" t="s">
        <v>187</v>
      </c>
      <c r="E109" s="128" t="s">
        <v>193</v>
      </c>
      <c r="F109" s="128" t="s">
        <v>79</v>
      </c>
      <c r="G109" s="128" t="s">
        <v>165</v>
      </c>
      <c r="H109" s="73">
        <v>16000</v>
      </c>
      <c r="I109" s="233" t="s">
        <v>254</v>
      </c>
      <c r="J109" s="73">
        <f>15532.86</f>
        <v>15532.86</v>
      </c>
      <c r="K109" s="73"/>
      <c r="L109" s="73"/>
      <c r="M109" s="73">
        <f t="shared" si="12"/>
        <v>15532.86</v>
      </c>
      <c r="N109" s="73">
        <f t="shared" si="13"/>
        <v>467.13999999999942</v>
      </c>
      <c r="O109" s="73"/>
    </row>
    <row r="110" spans="1:15" s="51" customFormat="1" x14ac:dyDescent="0.2">
      <c r="A110" s="162" t="s">
        <v>37</v>
      </c>
      <c r="B110" s="128"/>
      <c r="C110" s="128" t="s">
        <v>245</v>
      </c>
      <c r="D110" s="128" t="s">
        <v>187</v>
      </c>
      <c r="E110" s="128" t="s">
        <v>193</v>
      </c>
      <c r="F110" s="128" t="s">
        <v>292</v>
      </c>
      <c r="G110" s="128" t="s">
        <v>166</v>
      </c>
      <c r="H110" s="73">
        <f>70000-3600</f>
        <v>66400</v>
      </c>
      <c r="I110" s="233" t="s">
        <v>254</v>
      </c>
      <c r="J110" s="246">
        <f>2278.5+756.5+2278.5+1522+17811.36+756.5+1522-15532.86+755.5</f>
        <v>12148</v>
      </c>
      <c r="K110" s="73"/>
      <c r="L110" s="73"/>
      <c r="M110" s="73">
        <f t="shared" si="12"/>
        <v>12148</v>
      </c>
      <c r="N110" s="73">
        <f t="shared" si="13"/>
        <v>54252</v>
      </c>
      <c r="O110" s="73"/>
    </row>
    <row r="111" spans="1:15" s="51" customFormat="1" x14ac:dyDescent="0.2">
      <c r="A111" s="162" t="s">
        <v>29</v>
      </c>
      <c r="B111" s="128"/>
      <c r="C111" s="128" t="s">
        <v>245</v>
      </c>
      <c r="D111" s="128" t="s">
        <v>187</v>
      </c>
      <c r="E111" s="128" t="s">
        <v>193</v>
      </c>
      <c r="F111" s="128" t="s">
        <v>79</v>
      </c>
      <c r="G111" s="128" t="s">
        <v>168</v>
      </c>
      <c r="H111" s="73"/>
      <c r="I111" s="233" t="s">
        <v>254</v>
      </c>
      <c r="J111" s="73"/>
      <c r="K111" s="73"/>
      <c r="L111" s="73"/>
      <c r="M111" s="73">
        <f t="shared" ref="M111:M117" si="14">SUM(J111:L111)</f>
        <v>0</v>
      </c>
      <c r="N111" s="73">
        <f t="shared" ref="N111:N117" si="15">SUM(H111-M111)</f>
        <v>0</v>
      </c>
      <c r="O111" s="73"/>
    </row>
    <row r="112" spans="1:15" s="51" customFormat="1" x14ac:dyDescent="0.2">
      <c r="A112" s="162" t="s">
        <v>30</v>
      </c>
      <c r="B112" s="128"/>
      <c r="C112" s="128" t="s">
        <v>245</v>
      </c>
      <c r="D112" s="128" t="s">
        <v>187</v>
      </c>
      <c r="E112" s="128" t="s">
        <v>193</v>
      </c>
      <c r="F112" s="128" t="s">
        <v>79</v>
      </c>
      <c r="G112" s="128" t="s">
        <v>169</v>
      </c>
      <c r="H112" s="73">
        <f>3600+27000</f>
        <v>30600</v>
      </c>
      <c r="I112" s="233" t="s">
        <v>254</v>
      </c>
      <c r="J112" s="73">
        <f>3600+21268.38+5000</f>
        <v>29868.38</v>
      </c>
      <c r="K112" s="73"/>
      <c r="L112" s="73"/>
      <c r="M112" s="73">
        <f t="shared" si="14"/>
        <v>29868.38</v>
      </c>
      <c r="N112" s="73">
        <f t="shared" si="15"/>
        <v>731.61999999999898</v>
      </c>
      <c r="O112" s="73"/>
    </row>
    <row r="113" spans="1:15" s="68" customFormat="1" ht="15.75" x14ac:dyDescent="0.2">
      <c r="A113" s="111" t="s">
        <v>43</v>
      </c>
      <c r="B113" s="196"/>
      <c r="C113" s="125" t="s">
        <v>145</v>
      </c>
      <c r="D113" s="125" t="s">
        <v>187</v>
      </c>
      <c r="E113" s="125" t="s">
        <v>194</v>
      </c>
      <c r="F113" s="125" t="s">
        <v>145</v>
      </c>
      <c r="G113" s="125" t="s">
        <v>145</v>
      </c>
      <c r="H113" s="44">
        <f>SUM(H114:H117)</f>
        <v>771500</v>
      </c>
      <c r="I113" s="232" t="s">
        <v>254</v>
      </c>
      <c r="J113" s="44">
        <f>SUM(J114:J117)</f>
        <v>481213.79</v>
      </c>
      <c r="K113" s="44">
        <f>SUM(K114:K117)</f>
        <v>0</v>
      </c>
      <c r="L113" s="44">
        <f>SUM(L114:L117)</f>
        <v>0</v>
      </c>
      <c r="M113" s="84">
        <f t="shared" si="14"/>
        <v>481213.79</v>
      </c>
      <c r="N113" s="84">
        <f t="shared" si="15"/>
        <v>290286.21000000002</v>
      </c>
      <c r="O113" s="84"/>
    </row>
    <row r="114" spans="1:15" s="163" customFormat="1" x14ac:dyDescent="0.2">
      <c r="A114" s="112" t="s">
        <v>44</v>
      </c>
      <c r="B114" s="196"/>
      <c r="C114" s="128" t="s">
        <v>245</v>
      </c>
      <c r="D114" s="196" t="s">
        <v>187</v>
      </c>
      <c r="E114" s="196" t="s">
        <v>195</v>
      </c>
      <c r="F114" s="196" t="s">
        <v>292</v>
      </c>
      <c r="G114" s="196" t="s">
        <v>165</v>
      </c>
      <c r="H114" s="85">
        <f>446900-5000</f>
        <v>441900</v>
      </c>
      <c r="I114" s="236" t="s">
        <v>254</v>
      </c>
      <c r="J114" s="248">
        <f>1037.9+50430.16+519+12000+20211.84+54964.88+18235+37341.36+12000+6316.2+18341.2+22904.1+12000+14724.86</f>
        <v>281026.5</v>
      </c>
      <c r="K114" s="85"/>
      <c r="L114" s="85"/>
      <c r="M114" s="85">
        <f t="shared" si="14"/>
        <v>281026.5</v>
      </c>
      <c r="N114" s="85">
        <f t="shared" si="15"/>
        <v>160873.5</v>
      </c>
      <c r="O114" s="85"/>
    </row>
    <row r="115" spans="1:15" s="163" customFormat="1" x14ac:dyDescent="0.2">
      <c r="A115" s="112" t="s">
        <v>37</v>
      </c>
      <c r="B115" s="196"/>
      <c r="C115" s="128" t="s">
        <v>245</v>
      </c>
      <c r="D115" s="196" t="s">
        <v>187</v>
      </c>
      <c r="E115" s="196" t="s">
        <v>195</v>
      </c>
      <c r="F115" s="196" t="s">
        <v>79</v>
      </c>
      <c r="G115" s="196" t="s">
        <v>166</v>
      </c>
      <c r="H115" s="85">
        <f>5000+2000+11200+8000</f>
        <v>26200</v>
      </c>
      <c r="I115" s="236" t="s">
        <v>254</v>
      </c>
      <c r="J115" s="248">
        <f>3034+1886+1980+11250.05+7436</f>
        <v>25586.05</v>
      </c>
      <c r="K115" s="85"/>
      <c r="L115" s="85"/>
      <c r="M115" s="85">
        <f t="shared" si="14"/>
        <v>25586.05</v>
      </c>
      <c r="N115" s="85">
        <f t="shared" si="15"/>
        <v>613.95000000000073</v>
      </c>
      <c r="O115" s="85"/>
    </row>
    <row r="116" spans="1:15" s="163" customFormat="1" x14ac:dyDescent="0.2">
      <c r="A116" s="112" t="s">
        <v>29</v>
      </c>
      <c r="B116" s="196"/>
      <c r="C116" s="128" t="s">
        <v>245</v>
      </c>
      <c r="D116" s="196" t="s">
        <v>187</v>
      </c>
      <c r="E116" s="196" t="s">
        <v>195</v>
      </c>
      <c r="F116" s="196" t="s">
        <v>79</v>
      </c>
      <c r="G116" s="196" t="s">
        <v>168</v>
      </c>
      <c r="H116" s="85"/>
      <c r="I116" s="236" t="s">
        <v>254</v>
      </c>
      <c r="J116" s="248"/>
      <c r="K116" s="85"/>
      <c r="L116" s="85"/>
      <c r="M116" s="85">
        <f t="shared" si="14"/>
        <v>0</v>
      </c>
      <c r="N116" s="85">
        <f t="shared" si="15"/>
        <v>0</v>
      </c>
      <c r="O116" s="85"/>
    </row>
    <row r="117" spans="1:15" s="163" customFormat="1" x14ac:dyDescent="0.2">
      <c r="A117" s="112" t="s">
        <v>30</v>
      </c>
      <c r="B117" s="196"/>
      <c r="C117" s="128" t="s">
        <v>245</v>
      </c>
      <c r="D117" s="196" t="s">
        <v>187</v>
      </c>
      <c r="E117" s="196" t="s">
        <v>195</v>
      </c>
      <c r="F117" s="196" t="s">
        <v>292</v>
      </c>
      <c r="G117" s="196" t="s">
        <v>169</v>
      </c>
      <c r="H117" s="85">
        <f>345600-4000-38200</f>
        <v>303400</v>
      </c>
      <c r="I117" s="236" t="s">
        <v>254</v>
      </c>
      <c r="J117" s="248">
        <f>13895+19075+15550+1500+34092.24+3600+5000+29155+3500+39234+2500+6500+1000</f>
        <v>174601.24</v>
      </c>
      <c r="K117" s="85"/>
      <c r="L117" s="85"/>
      <c r="M117" s="85">
        <f t="shared" si="14"/>
        <v>174601.24</v>
      </c>
      <c r="N117" s="85">
        <f t="shared" si="15"/>
        <v>128798.76000000001</v>
      </c>
      <c r="O117" s="85"/>
    </row>
    <row r="118" spans="1:15" s="68" customFormat="1" ht="30" x14ac:dyDescent="0.2">
      <c r="A118" s="111" t="s">
        <v>274</v>
      </c>
      <c r="B118" s="196"/>
      <c r="C118" s="125" t="s">
        <v>145</v>
      </c>
      <c r="D118" s="125" t="s">
        <v>275</v>
      </c>
      <c r="E118" s="125" t="s">
        <v>147</v>
      </c>
      <c r="F118" s="125" t="s">
        <v>145</v>
      </c>
      <c r="G118" s="125" t="s">
        <v>145</v>
      </c>
      <c r="H118" s="44">
        <f>SUM(H119:H121)</f>
        <v>3000</v>
      </c>
      <c r="I118" s="232" t="s">
        <v>254</v>
      </c>
      <c r="J118" s="44">
        <f>SUM(J119:J121)</f>
        <v>0</v>
      </c>
      <c r="K118" s="44">
        <f>SUM(K119:K125)</f>
        <v>0</v>
      </c>
      <c r="L118" s="44">
        <f>SUM(L119:L125)</f>
        <v>0</v>
      </c>
      <c r="M118" s="84">
        <f>SUM(J118:L118)</f>
        <v>0</v>
      </c>
      <c r="N118" s="84">
        <f>SUM(H118-M118)</f>
        <v>3000</v>
      </c>
      <c r="O118" s="84"/>
    </row>
    <row r="119" spans="1:15" s="163" customFormat="1" x14ac:dyDescent="0.2">
      <c r="A119" s="112" t="s">
        <v>266</v>
      </c>
      <c r="B119" s="196"/>
      <c r="C119" s="128" t="s">
        <v>245</v>
      </c>
      <c r="D119" s="196" t="s">
        <v>275</v>
      </c>
      <c r="E119" s="196" t="s">
        <v>160</v>
      </c>
      <c r="F119" s="196" t="s">
        <v>310</v>
      </c>
      <c r="G119" s="196" t="s">
        <v>267</v>
      </c>
      <c r="H119" s="85">
        <v>3000</v>
      </c>
      <c r="I119" s="236"/>
      <c r="J119" s="248"/>
      <c r="K119" s="85"/>
      <c r="L119" s="85"/>
      <c r="M119" s="85"/>
      <c r="N119" s="85"/>
      <c r="O119" s="85"/>
    </row>
    <row r="120" spans="1:15" s="163" customFormat="1" x14ac:dyDescent="0.2">
      <c r="A120" s="112" t="s">
        <v>33</v>
      </c>
      <c r="B120" s="196"/>
      <c r="C120" s="128" t="s">
        <v>245</v>
      </c>
      <c r="D120" s="196" t="s">
        <v>275</v>
      </c>
      <c r="E120" s="196" t="s">
        <v>286</v>
      </c>
      <c r="F120" s="196" t="s">
        <v>79</v>
      </c>
      <c r="G120" s="196" t="s">
        <v>179</v>
      </c>
      <c r="H120" s="85"/>
      <c r="I120" s="236"/>
      <c r="J120" s="248"/>
      <c r="K120" s="85"/>
      <c r="L120" s="85"/>
      <c r="M120" s="85"/>
      <c r="N120" s="85"/>
      <c r="O120" s="85"/>
    </row>
    <row r="121" spans="1:15" s="163" customFormat="1" x14ac:dyDescent="0.2">
      <c r="A121" s="112" t="s">
        <v>33</v>
      </c>
      <c r="B121" s="196"/>
      <c r="C121" s="128" t="s">
        <v>245</v>
      </c>
      <c r="D121" s="196" t="s">
        <v>275</v>
      </c>
      <c r="E121" s="196" t="s">
        <v>282</v>
      </c>
      <c r="F121" s="196" t="s">
        <v>79</v>
      </c>
      <c r="G121" s="196" t="s">
        <v>179</v>
      </c>
      <c r="H121" s="85"/>
      <c r="I121" s="236"/>
      <c r="J121" s="248"/>
      <c r="K121" s="85"/>
      <c r="L121" s="85"/>
      <c r="M121" s="85"/>
      <c r="N121" s="85"/>
      <c r="O121" s="85"/>
    </row>
    <row r="122" spans="1:15" s="68" customFormat="1" ht="27" customHeight="1" x14ac:dyDescent="0.2">
      <c r="A122" s="121" t="s">
        <v>227</v>
      </c>
      <c r="B122" s="12"/>
      <c r="C122" s="12" t="s">
        <v>145</v>
      </c>
      <c r="D122" s="12" t="s">
        <v>226</v>
      </c>
      <c r="E122" s="12" t="s">
        <v>147</v>
      </c>
      <c r="F122" s="12" t="s">
        <v>145</v>
      </c>
      <c r="G122" s="12" t="s">
        <v>145</v>
      </c>
      <c r="H122" s="123">
        <f>SUM(H123)</f>
        <v>20000</v>
      </c>
      <c r="I122" s="239" t="s">
        <v>254</v>
      </c>
      <c r="J122" s="123">
        <f>SUM(J123)</f>
        <v>0</v>
      </c>
      <c r="K122" s="123">
        <f>SUM(K123)</f>
        <v>0</v>
      </c>
      <c r="L122" s="123">
        <f>SUM(L123)</f>
        <v>0</v>
      </c>
      <c r="M122" s="123">
        <f>SUM(M123)</f>
        <v>0</v>
      </c>
      <c r="N122" s="123">
        <f>SUM(N123)</f>
        <v>20000</v>
      </c>
      <c r="O122" s="123"/>
    </row>
    <row r="123" spans="1:15" s="68" customFormat="1" ht="36" customHeight="1" x14ac:dyDescent="0.2">
      <c r="A123" s="124" t="s">
        <v>261</v>
      </c>
      <c r="B123" s="195"/>
      <c r="C123" s="125" t="s">
        <v>145</v>
      </c>
      <c r="D123" s="125" t="s">
        <v>228</v>
      </c>
      <c r="E123" s="125" t="s">
        <v>147</v>
      </c>
      <c r="F123" s="125" t="s">
        <v>145</v>
      </c>
      <c r="G123" s="195" t="s">
        <v>145</v>
      </c>
      <c r="H123" s="44">
        <f>SUM(H124+H125)</f>
        <v>20000</v>
      </c>
      <c r="I123" s="232" t="s">
        <v>254</v>
      </c>
      <c r="J123" s="44">
        <f>SUM(J124+J125)</f>
        <v>0</v>
      </c>
      <c r="K123" s="44">
        <f>SUM(K124+K125)</f>
        <v>0</v>
      </c>
      <c r="L123" s="44">
        <f>SUM(L124+L125)</f>
        <v>0</v>
      </c>
      <c r="M123" s="44">
        <f>SUM(M124+M125)</f>
        <v>0</v>
      </c>
      <c r="N123" s="44">
        <f>SUM(N124+N125)</f>
        <v>20000</v>
      </c>
      <c r="O123" s="44"/>
    </row>
    <row r="124" spans="1:15" s="68" customFormat="1" ht="15.75" x14ac:dyDescent="0.2">
      <c r="A124" s="162" t="s">
        <v>37</v>
      </c>
      <c r="B124" s="195"/>
      <c r="C124" s="128" t="s">
        <v>245</v>
      </c>
      <c r="D124" s="128" t="s">
        <v>228</v>
      </c>
      <c r="E124" s="128" t="s">
        <v>229</v>
      </c>
      <c r="F124" s="128" t="s">
        <v>79</v>
      </c>
      <c r="G124" s="128" t="s">
        <v>166</v>
      </c>
      <c r="H124" s="44"/>
      <c r="I124" s="232" t="s">
        <v>254</v>
      </c>
      <c r="J124" s="44"/>
      <c r="K124" s="44"/>
      <c r="L124" s="44"/>
      <c r="M124" s="85">
        <f>SUM(J124:L124)</f>
        <v>0</v>
      </c>
      <c r="N124" s="85">
        <f>SUM(H124-M124)</f>
        <v>0</v>
      </c>
      <c r="O124" s="85"/>
    </row>
    <row r="125" spans="1:15" s="163" customFormat="1" x14ac:dyDescent="0.2">
      <c r="A125" s="162" t="s">
        <v>28</v>
      </c>
      <c r="B125" s="196"/>
      <c r="C125" s="128" t="s">
        <v>245</v>
      </c>
      <c r="D125" s="196" t="s">
        <v>228</v>
      </c>
      <c r="E125" s="196" t="s">
        <v>229</v>
      </c>
      <c r="F125" s="196" t="s">
        <v>292</v>
      </c>
      <c r="G125" s="196" t="s">
        <v>167</v>
      </c>
      <c r="H125" s="85">
        <v>20000</v>
      </c>
      <c r="I125" s="236" t="s">
        <v>254</v>
      </c>
      <c r="J125" s="85"/>
      <c r="K125" s="85"/>
      <c r="L125" s="85"/>
      <c r="M125" s="85">
        <f>SUM(J125:L125)</f>
        <v>0</v>
      </c>
      <c r="N125" s="85">
        <f>SUM(H125-M125)</f>
        <v>20000</v>
      </c>
      <c r="O125" s="85"/>
    </row>
    <row r="126" spans="1:15" s="68" customFormat="1" ht="27" customHeight="1" x14ac:dyDescent="0.2">
      <c r="A126" s="121" t="s">
        <v>103</v>
      </c>
      <c r="B126" s="12"/>
      <c r="C126" s="12" t="s">
        <v>145</v>
      </c>
      <c r="D126" s="12" t="s">
        <v>196</v>
      </c>
      <c r="E126" s="12" t="s">
        <v>147</v>
      </c>
      <c r="F126" s="12" t="s">
        <v>145</v>
      </c>
      <c r="G126" s="12" t="s">
        <v>145</v>
      </c>
      <c r="H126" s="123">
        <f>SUM(H127+H140)</f>
        <v>2985100</v>
      </c>
      <c r="I126" s="239" t="s">
        <v>254</v>
      </c>
      <c r="J126" s="123">
        <f>SUM(J127+J140)</f>
        <v>1356318.7999999998</v>
      </c>
      <c r="K126" s="123">
        <f>SUM(K127+K140)</f>
        <v>0</v>
      </c>
      <c r="L126" s="123">
        <f>SUM(L127+L140)</f>
        <v>0</v>
      </c>
      <c r="M126" s="123">
        <f>SUM(M127+M140)</f>
        <v>1356318.7999999998</v>
      </c>
      <c r="N126" s="123">
        <f>SUM(N127+N140)</f>
        <v>1628781.2</v>
      </c>
      <c r="O126" s="123"/>
    </row>
    <row r="127" spans="1:15" s="68" customFormat="1" ht="15.75" x14ac:dyDescent="0.2">
      <c r="A127" s="129" t="s">
        <v>45</v>
      </c>
      <c r="B127" s="195"/>
      <c r="C127" s="125" t="s">
        <v>145</v>
      </c>
      <c r="D127" s="125" t="s">
        <v>197</v>
      </c>
      <c r="E127" s="125" t="s">
        <v>198</v>
      </c>
      <c r="F127" s="125" t="s">
        <v>145</v>
      </c>
      <c r="G127" s="195" t="s">
        <v>145</v>
      </c>
      <c r="H127" s="44">
        <f>SUM(H128:H139)</f>
        <v>1529100</v>
      </c>
      <c r="I127" s="232" t="s">
        <v>254</v>
      </c>
      <c r="J127" s="44">
        <f>SUM(J128:J139)</f>
        <v>625491.35</v>
      </c>
      <c r="K127" s="44">
        <f>SUM(K128:K139)</f>
        <v>0</v>
      </c>
      <c r="L127" s="44">
        <f>SUM(L128:L139)</f>
        <v>0</v>
      </c>
      <c r="M127" s="44">
        <f>SUM(M128:M139)</f>
        <v>625491.35</v>
      </c>
      <c r="N127" s="44">
        <f>SUM(N128:N139)</f>
        <v>903608.64999999991</v>
      </c>
      <c r="O127" s="44"/>
    </row>
    <row r="128" spans="1:15" s="51" customFormat="1" x14ac:dyDescent="0.2">
      <c r="A128" s="162" t="s">
        <v>19</v>
      </c>
      <c r="B128" s="128"/>
      <c r="C128" s="128" t="s">
        <v>245</v>
      </c>
      <c r="D128" s="128" t="s">
        <v>197</v>
      </c>
      <c r="E128" s="128" t="s">
        <v>198</v>
      </c>
      <c r="F128" s="128" t="s">
        <v>302</v>
      </c>
      <c r="G128" s="128" t="s">
        <v>150</v>
      </c>
      <c r="H128" s="73">
        <v>1015000</v>
      </c>
      <c r="I128" s="233" t="s">
        <v>254</v>
      </c>
      <c r="J128" s="246">
        <f>62330+22800+9157+56595.63+41270.88+64258.11+18200+6524+28258.94+22800+7345</f>
        <v>339539.56</v>
      </c>
      <c r="K128" s="73"/>
      <c r="L128" s="73"/>
      <c r="M128" s="85">
        <f t="shared" ref="M128:M139" si="16">SUM(J128:L128)</f>
        <v>339539.56</v>
      </c>
      <c r="N128" s="85">
        <f t="shared" ref="N128:N139" si="17">SUM(H128-M128)</f>
        <v>675460.44</v>
      </c>
      <c r="O128" s="85"/>
    </row>
    <row r="129" spans="1:15" s="51" customFormat="1" x14ac:dyDescent="0.2">
      <c r="A129" s="162" t="s">
        <v>22</v>
      </c>
      <c r="B129" s="128"/>
      <c r="C129" s="128" t="s">
        <v>245</v>
      </c>
      <c r="D129" s="128" t="s">
        <v>197</v>
      </c>
      <c r="E129" s="128" t="s">
        <v>198</v>
      </c>
      <c r="F129" s="128" t="s">
        <v>303</v>
      </c>
      <c r="G129" s="196" t="s">
        <v>161</v>
      </c>
      <c r="H129" s="73">
        <v>1200</v>
      </c>
      <c r="I129" s="233" t="s">
        <v>254</v>
      </c>
      <c r="J129" s="73">
        <f>100+100+100+100+100</f>
        <v>500</v>
      </c>
      <c r="K129" s="73"/>
      <c r="L129" s="73"/>
      <c r="M129" s="85">
        <f t="shared" ref="M129" si="18">SUM(J129:L129)</f>
        <v>500</v>
      </c>
      <c r="N129" s="85">
        <f t="shared" ref="N129" si="19">SUM(H129-M129)</f>
        <v>700</v>
      </c>
      <c r="O129" s="85"/>
    </row>
    <row r="130" spans="1:15" s="51" customFormat="1" x14ac:dyDescent="0.2">
      <c r="A130" s="162" t="s">
        <v>22</v>
      </c>
      <c r="B130" s="128"/>
      <c r="C130" s="128" t="s">
        <v>245</v>
      </c>
      <c r="D130" s="128" t="s">
        <v>197</v>
      </c>
      <c r="E130" s="128" t="s">
        <v>198</v>
      </c>
      <c r="F130" s="128" t="s">
        <v>303</v>
      </c>
      <c r="G130" s="196" t="s">
        <v>343</v>
      </c>
      <c r="H130" s="73">
        <f>27600-1200</f>
        <v>26400</v>
      </c>
      <c r="I130" s="233" t="s">
        <v>254</v>
      </c>
      <c r="J130" s="73"/>
      <c r="K130" s="73"/>
      <c r="L130" s="73"/>
      <c r="M130" s="85">
        <f t="shared" si="16"/>
        <v>0</v>
      </c>
      <c r="N130" s="85">
        <f t="shared" si="17"/>
        <v>26400</v>
      </c>
      <c r="O130" s="85"/>
    </row>
    <row r="131" spans="1:15" s="51" customFormat="1" x14ac:dyDescent="0.2">
      <c r="A131" s="162" t="s">
        <v>20</v>
      </c>
      <c r="B131" s="128"/>
      <c r="C131" s="128" t="s">
        <v>245</v>
      </c>
      <c r="D131" s="128" t="s">
        <v>197</v>
      </c>
      <c r="E131" s="128" t="s">
        <v>198</v>
      </c>
      <c r="F131" s="128" t="s">
        <v>302</v>
      </c>
      <c r="G131" s="128" t="s">
        <v>151</v>
      </c>
      <c r="H131" s="73">
        <v>307000</v>
      </c>
      <c r="I131" s="233" t="s">
        <v>254</v>
      </c>
      <c r="J131" s="246">
        <f>18976.05+22115.02+16800.69+19405.74+16000.86+18317.74</f>
        <v>111616.1</v>
      </c>
      <c r="K131" s="73"/>
      <c r="L131" s="73"/>
      <c r="M131" s="85">
        <f t="shared" si="16"/>
        <v>111616.1</v>
      </c>
      <c r="N131" s="85">
        <f t="shared" si="17"/>
        <v>195383.9</v>
      </c>
      <c r="O131" s="85"/>
    </row>
    <row r="132" spans="1:15" s="51" customFormat="1" x14ac:dyDescent="0.2">
      <c r="A132" s="162" t="s">
        <v>24</v>
      </c>
      <c r="B132" s="128"/>
      <c r="C132" s="128" t="s">
        <v>245</v>
      </c>
      <c r="D132" s="128" t="s">
        <v>197</v>
      </c>
      <c r="E132" s="128" t="s">
        <v>198</v>
      </c>
      <c r="F132" s="128" t="s">
        <v>292</v>
      </c>
      <c r="G132" s="128" t="s">
        <v>163</v>
      </c>
      <c r="H132" s="73"/>
      <c r="I132" s="233" t="s">
        <v>271</v>
      </c>
      <c r="J132" s="246"/>
      <c r="K132" s="73"/>
      <c r="L132" s="73"/>
      <c r="M132" s="85">
        <f t="shared" si="16"/>
        <v>0</v>
      </c>
      <c r="N132" s="85">
        <f t="shared" si="17"/>
        <v>0</v>
      </c>
      <c r="O132" s="85"/>
    </row>
    <row r="133" spans="1:15" s="51" customFormat="1" x14ac:dyDescent="0.2">
      <c r="A133" s="162" t="s">
        <v>25</v>
      </c>
      <c r="B133" s="128"/>
      <c r="C133" s="128" t="s">
        <v>245</v>
      </c>
      <c r="D133" s="128" t="s">
        <v>197</v>
      </c>
      <c r="E133" s="128" t="s">
        <v>198</v>
      </c>
      <c r="F133" s="128" t="s">
        <v>292</v>
      </c>
      <c r="G133" s="128" t="s">
        <v>164</v>
      </c>
      <c r="H133" s="73">
        <f>15000+2000+5000+2000</f>
        <v>24000</v>
      </c>
      <c r="I133" s="233" t="s">
        <v>254</v>
      </c>
      <c r="J133" s="246">
        <f>3503.89+4736.29+4338.4+3956.91+5176.38+1630.37</f>
        <v>23342.239999999998</v>
      </c>
      <c r="K133" s="73"/>
      <c r="L133" s="73"/>
      <c r="M133" s="85">
        <f t="shared" si="16"/>
        <v>23342.239999999998</v>
      </c>
      <c r="N133" s="85">
        <f t="shared" si="17"/>
        <v>657.76000000000204</v>
      </c>
      <c r="O133" s="85"/>
    </row>
    <row r="134" spans="1:15" s="51" customFormat="1" x14ac:dyDescent="0.2">
      <c r="A134" s="162" t="s">
        <v>44</v>
      </c>
      <c r="B134" s="128"/>
      <c r="C134" s="128" t="s">
        <v>245</v>
      </c>
      <c r="D134" s="128" t="s">
        <v>197</v>
      </c>
      <c r="E134" s="128" t="s">
        <v>198</v>
      </c>
      <c r="F134" s="128" t="s">
        <v>292</v>
      </c>
      <c r="G134" s="128" t="s">
        <v>165</v>
      </c>
      <c r="H134" s="73">
        <f>12000+7000+15000+15000</f>
        <v>49000</v>
      </c>
      <c r="I134" s="233" t="s">
        <v>254</v>
      </c>
      <c r="J134" s="73">
        <f>7231.31+1000+1000+2399.31+7231.31+4832+1000+7247.98+1000+2399.31+4832+1000+3682+1828.08</f>
        <v>46683.3</v>
      </c>
      <c r="K134" s="73"/>
      <c r="L134" s="73"/>
      <c r="M134" s="85">
        <f t="shared" si="16"/>
        <v>46683.3</v>
      </c>
      <c r="N134" s="85">
        <f t="shared" si="17"/>
        <v>2316.6999999999971</v>
      </c>
      <c r="O134" s="85"/>
    </row>
    <row r="135" spans="1:15" s="51" customFormat="1" ht="15.75" customHeight="1" x14ac:dyDescent="0.2">
      <c r="A135" s="162" t="s">
        <v>37</v>
      </c>
      <c r="B135" s="128"/>
      <c r="C135" s="128" t="s">
        <v>245</v>
      </c>
      <c r="D135" s="128" t="s">
        <v>197</v>
      </c>
      <c r="E135" s="128" t="s">
        <v>198</v>
      </c>
      <c r="F135" s="128" t="s">
        <v>292</v>
      </c>
      <c r="G135" s="128" t="s">
        <v>166</v>
      </c>
      <c r="H135" s="73">
        <f>50000+8000+28000-7000</f>
        <v>79000</v>
      </c>
      <c r="I135" s="233" t="s">
        <v>254</v>
      </c>
      <c r="J135" s="73">
        <f>14392.31+4774.29+14392.31+9617+14376.64+4775.31+9617+4775.29</f>
        <v>76720.14999999998</v>
      </c>
      <c r="K135" s="73"/>
      <c r="L135" s="73"/>
      <c r="M135" s="85">
        <f t="shared" si="16"/>
        <v>76720.14999999998</v>
      </c>
      <c r="N135" s="85">
        <f t="shared" si="17"/>
        <v>2279.8500000000204</v>
      </c>
      <c r="O135" s="85"/>
    </row>
    <row r="136" spans="1:15" s="51" customFormat="1" ht="15.75" customHeight="1" x14ac:dyDescent="0.2">
      <c r="A136" s="162" t="s">
        <v>28</v>
      </c>
      <c r="B136" s="128"/>
      <c r="C136" s="128" t="s">
        <v>245</v>
      </c>
      <c r="D136" s="128" t="s">
        <v>197</v>
      </c>
      <c r="E136" s="128" t="s">
        <v>198</v>
      </c>
      <c r="F136" s="128" t="s">
        <v>292</v>
      </c>
      <c r="G136" s="128" t="s">
        <v>167</v>
      </c>
      <c r="H136" s="73">
        <f>100000-50000-15000-35000</f>
        <v>0</v>
      </c>
      <c r="I136" s="233" t="s">
        <v>254</v>
      </c>
      <c r="J136" s="246"/>
      <c r="K136" s="73"/>
      <c r="L136" s="73"/>
      <c r="M136" s="85">
        <f t="shared" si="16"/>
        <v>0</v>
      </c>
      <c r="N136" s="85">
        <f t="shared" si="17"/>
        <v>0</v>
      </c>
      <c r="O136" s="85"/>
    </row>
    <row r="137" spans="1:15" s="51" customFormat="1" ht="15.75" customHeight="1" x14ac:dyDescent="0.2">
      <c r="A137" s="112" t="s">
        <v>29</v>
      </c>
      <c r="B137" s="128"/>
      <c r="C137" s="128" t="s">
        <v>245</v>
      </c>
      <c r="D137" s="128" t="s">
        <v>197</v>
      </c>
      <c r="E137" s="128" t="s">
        <v>198</v>
      </c>
      <c r="F137" s="128" t="s">
        <v>179</v>
      </c>
      <c r="G137" s="128" t="s">
        <v>168</v>
      </c>
      <c r="H137" s="73"/>
      <c r="I137" s="233" t="s">
        <v>254</v>
      </c>
      <c r="J137" s="73"/>
      <c r="K137" s="73"/>
      <c r="L137" s="73"/>
      <c r="M137" s="85">
        <f>SUM(J137:L137)</f>
        <v>0</v>
      </c>
      <c r="N137" s="85">
        <f>SUM(H137-M137)</f>
        <v>0</v>
      </c>
      <c r="O137" s="85"/>
    </row>
    <row r="138" spans="1:15" s="51" customFormat="1" ht="15.75" customHeight="1" x14ac:dyDescent="0.2">
      <c r="A138" s="112" t="s">
        <v>29</v>
      </c>
      <c r="B138" s="128"/>
      <c r="C138" s="128" t="s">
        <v>245</v>
      </c>
      <c r="D138" s="128" t="s">
        <v>197</v>
      </c>
      <c r="E138" s="128" t="s">
        <v>198</v>
      </c>
      <c r="F138" s="128" t="s">
        <v>292</v>
      </c>
      <c r="G138" s="128" t="s">
        <v>168</v>
      </c>
      <c r="H138" s="73"/>
      <c r="I138" s="233" t="s">
        <v>254</v>
      </c>
      <c r="J138" s="73"/>
      <c r="K138" s="73"/>
      <c r="L138" s="73"/>
      <c r="M138" s="85">
        <f t="shared" si="16"/>
        <v>0</v>
      </c>
      <c r="N138" s="85">
        <f t="shared" si="17"/>
        <v>0</v>
      </c>
      <c r="O138" s="85"/>
    </row>
    <row r="139" spans="1:15" s="51" customFormat="1" ht="15.75" customHeight="1" x14ac:dyDescent="0.2">
      <c r="A139" s="112" t="s">
        <v>30</v>
      </c>
      <c r="B139" s="128"/>
      <c r="C139" s="128" t="s">
        <v>245</v>
      </c>
      <c r="D139" s="128" t="s">
        <v>197</v>
      </c>
      <c r="E139" s="128" t="s">
        <v>198</v>
      </c>
      <c r="F139" s="128" t="s">
        <v>292</v>
      </c>
      <c r="G139" s="128" t="s">
        <v>169</v>
      </c>
      <c r="H139" s="73">
        <f>5000+8000+10000+2000+2500</f>
        <v>27500</v>
      </c>
      <c r="I139" s="233" t="s">
        <v>254</v>
      </c>
      <c r="J139" s="246">
        <v>27090</v>
      </c>
      <c r="K139" s="73"/>
      <c r="L139" s="73"/>
      <c r="M139" s="85">
        <f t="shared" si="16"/>
        <v>27090</v>
      </c>
      <c r="N139" s="85">
        <f t="shared" si="17"/>
        <v>410</v>
      </c>
      <c r="O139" s="85"/>
    </row>
    <row r="140" spans="1:15" s="68" customFormat="1" ht="15.75" x14ac:dyDescent="0.2">
      <c r="A140" s="129" t="s">
        <v>221</v>
      </c>
      <c r="B140" s="195"/>
      <c r="C140" s="125" t="s">
        <v>145</v>
      </c>
      <c r="D140" s="125" t="s">
        <v>197</v>
      </c>
      <c r="E140" s="125" t="s">
        <v>222</v>
      </c>
      <c r="F140" s="125" t="s">
        <v>145</v>
      </c>
      <c r="G140" s="195" t="s">
        <v>145</v>
      </c>
      <c r="H140" s="44">
        <f>SUM(H141:H151)</f>
        <v>1456000</v>
      </c>
      <c r="I140" s="232" t="s">
        <v>254</v>
      </c>
      <c r="J140" s="44">
        <f>SUM(J141:J151)</f>
        <v>730827.45</v>
      </c>
      <c r="K140" s="44">
        <f>SUM(K141:K151)</f>
        <v>0</v>
      </c>
      <c r="L140" s="44">
        <f>SUM(L141:L151)</f>
        <v>0</v>
      </c>
      <c r="M140" s="44">
        <f>SUM(M141:M151)</f>
        <v>730827.45</v>
      </c>
      <c r="N140" s="44">
        <f>SUM(N141:N151)</f>
        <v>725172.55</v>
      </c>
      <c r="O140" s="44"/>
    </row>
    <row r="141" spans="1:15" s="51" customFormat="1" x14ac:dyDescent="0.2">
      <c r="A141" s="162" t="s">
        <v>19</v>
      </c>
      <c r="B141" s="128"/>
      <c r="C141" s="128" t="s">
        <v>245</v>
      </c>
      <c r="D141" s="128" t="s">
        <v>197</v>
      </c>
      <c r="E141" s="128" t="s">
        <v>222</v>
      </c>
      <c r="F141" s="128" t="s">
        <v>302</v>
      </c>
      <c r="G141" s="128" t="s">
        <v>150</v>
      </c>
      <c r="H141" s="73">
        <v>859000</v>
      </c>
      <c r="I141" s="233" t="s">
        <v>254</v>
      </c>
      <c r="J141" s="246">
        <f>75830+11000+19200+11890+75830+50766.83+60795.35+35500+10956+40612.96+19500+9204</f>
        <v>421085.14</v>
      </c>
      <c r="K141" s="73"/>
      <c r="L141" s="73"/>
      <c r="M141" s="85">
        <f t="shared" ref="M141:M151" si="20">SUM(J141:L141)</f>
        <v>421085.14</v>
      </c>
      <c r="N141" s="85">
        <f t="shared" ref="N141:N151" si="21">SUM(H141-M141)</f>
        <v>437914.86</v>
      </c>
      <c r="O141" s="85"/>
    </row>
    <row r="142" spans="1:15" s="51" customFormat="1" x14ac:dyDescent="0.2">
      <c r="A142" s="162" t="s">
        <v>22</v>
      </c>
      <c r="B142" s="128"/>
      <c r="C142" s="128" t="s">
        <v>245</v>
      </c>
      <c r="D142" s="128" t="s">
        <v>197</v>
      </c>
      <c r="E142" s="128" t="s">
        <v>222</v>
      </c>
      <c r="F142" s="128" t="s">
        <v>303</v>
      </c>
      <c r="G142" s="196" t="s">
        <v>343</v>
      </c>
      <c r="H142" s="73">
        <v>29000</v>
      </c>
      <c r="I142" s="233" t="s">
        <v>254</v>
      </c>
      <c r="J142" s="246"/>
      <c r="K142" s="73"/>
      <c r="L142" s="73"/>
      <c r="M142" s="85">
        <f t="shared" si="20"/>
        <v>0</v>
      </c>
      <c r="N142" s="85">
        <f t="shared" si="21"/>
        <v>29000</v>
      </c>
      <c r="O142" s="85"/>
    </row>
    <row r="143" spans="1:15" s="51" customFormat="1" x14ac:dyDescent="0.2">
      <c r="A143" s="162" t="s">
        <v>20</v>
      </c>
      <c r="B143" s="128"/>
      <c r="C143" s="128" t="s">
        <v>245</v>
      </c>
      <c r="D143" s="128" t="s">
        <v>197</v>
      </c>
      <c r="E143" s="128" t="s">
        <v>222</v>
      </c>
      <c r="F143" s="128" t="s">
        <v>302</v>
      </c>
      <c r="G143" s="128" t="s">
        <v>151</v>
      </c>
      <c r="H143" s="73">
        <v>259000</v>
      </c>
      <c r="I143" s="233" t="s">
        <v>254</v>
      </c>
      <c r="J143" s="246">
        <f>22900.66+28042.78+22900.66+18360.18+26294.83+19687.38</f>
        <v>138186.49</v>
      </c>
      <c r="K143" s="73"/>
      <c r="L143" s="73"/>
      <c r="M143" s="85">
        <f t="shared" si="20"/>
        <v>138186.49</v>
      </c>
      <c r="N143" s="85">
        <f t="shared" si="21"/>
        <v>120813.51000000001</v>
      </c>
      <c r="O143" s="85"/>
    </row>
    <row r="144" spans="1:15" s="51" customFormat="1" x14ac:dyDescent="0.2">
      <c r="A144" s="162" t="s">
        <v>23</v>
      </c>
      <c r="B144" s="128"/>
      <c r="C144" s="128" t="s">
        <v>245</v>
      </c>
      <c r="D144" s="128" t="s">
        <v>197</v>
      </c>
      <c r="E144" s="128" t="s">
        <v>222</v>
      </c>
      <c r="F144" s="128" t="s">
        <v>199</v>
      </c>
      <c r="G144" s="128" t="s">
        <v>162</v>
      </c>
      <c r="H144" s="73"/>
      <c r="I144" s="233" t="s">
        <v>254</v>
      </c>
      <c r="J144" s="246"/>
      <c r="K144" s="73"/>
      <c r="L144" s="73"/>
      <c r="M144" s="85">
        <f t="shared" si="20"/>
        <v>0</v>
      </c>
      <c r="N144" s="85">
        <f t="shared" si="21"/>
        <v>0</v>
      </c>
      <c r="O144" s="85"/>
    </row>
    <row r="145" spans="1:15" s="51" customFormat="1" x14ac:dyDescent="0.2">
      <c r="A145" s="162" t="s">
        <v>25</v>
      </c>
      <c r="B145" s="128"/>
      <c r="C145" s="128" t="s">
        <v>245</v>
      </c>
      <c r="D145" s="128" t="s">
        <v>197</v>
      </c>
      <c r="E145" s="128" t="s">
        <v>222</v>
      </c>
      <c r="F145" s="128" t="s">
        <v>292</v>
      </c>
      <c r="G145" s="128" t="s">
        <v>164</v>
      </c>
      <c r="H145" s="73">
        <f>20000+2000+2000</f>
        <v>24000</v>
      </c>
      <c r="I145" s="233" t="s">
        <v>254</v>
      </c>
      <c r="J145" s="246">
        <f>2543.14+5369.63+4925.69+4588.81+3753.83+2621.17</f>
        <v>23802.269999999997</v>
      </c>
      <c r="K145" s="73"/>
      <c r="L145" s="73"/>
      <c r="M145" s="85">
        <f t="shared" si="20"/>
        <v>23802.269999999997</v>
      </c>
      <c r="N145" s="85">
        <f t="shared" si="21"/>
        <v>197.7300000000032</v>
      </c>
      <c r="O145" s="85"/>
    </row>
    <row r="146" spans="1:15" s="51" customFormat="1" x14ac:dyDescent="0.2">
      <c r="A146" s="162" t="s">
        <v>44</v>
      </c>
      <c r="B146" s="128"/>
      <c r="C146" s="128" t="s">
        <v>245</v>
      </c>
      <c r="D146" s="128" t="s">
        <v>197</v>
      </c>
      <c r="E146" s="128" t="s">
        <v>222</v>
      </c>
      <c r="F146" s="128" t="s">
        <v>179</v>
      </c>
      <c r="G146" s="128" t="s">
        <v>165</v>
      </c>
      <c r="H146" s="73">
        <v>180000</v>
      </c>
      <c r="I146" s="233" t="s">
        <v>254</v>
      </c>
      <c r="J146" s="246">
        <f>14973+4968+14973+10005+14973+4968+10005+4968</f>
        <v>79833</v>
      </c>
      <c r="K146" s="73"/>
      <c r="L146" s="73"/>
      <c r="M146" s="85">
        <f t="shared" ref="M146" si="22">SUM(J146:L146)</f>
        <v>79833</v>
      </c>
      <c r="N146" s="85">
        <f t="shared" ref="N146" si="23">SUM(H146-M146)</f>
        <v>100167</v>
      </c>
      <c r="O146" s="85"/>
    </row>
    <row r="147" spans="1:15" s="51" customFormat="1" x14ac:dyDescent="0.2">
      <c r="A147" s="162" t="s">
        <v>44</v>
      </c>
      <c r="B147" s="128"/>
      <c r="C147" s="128" t="s">
        <v>245</v>
      </c>
      <c r="D147" s="128" t="s">
        <v>197</v>
      </c>
      <c r="E147" s="128" t="s">
        <v>222</v>
      </c>
      <c r="F147" s="128" t="s">
        <v>292</v>
      </c>
      <c r="G147" s="128" t="s">
        <v>165</v>
      </c>
      <c r="H147" s="73">
        <v>80000</v>
      </c>
      <c r="I147" s="233" t="s">
        <v>254</v>
      </c>
      <c r="J147" s="246">
        <f>9114+3024+9114+6090+8489.04+2818.94+5678.32+2570.9</f>
        <v>46899.200000000004</v>
      </c>
      <c r="K147" s="73"/>
      <c r="L147" s="73"/>
      <c r="M147" s="85">
        <f t="shared" si="20"/>
        <v>46899.200000000004</v>
      </c>
      <c r="N147" s="85">
        <f t="shared" si="21"/>
        <v>33100.799999999996</v>
      </c>
      <c r="O147" s="85"/>
    </row>
    <row r="148" spans="1:15" s="51" customFormat="1" ht="15.75" customHeight="1" x14ac:dyDescent="0.2">
      <c r="A148" s="162" t="s">
        <v>37</v>
      </c>
      <c r="B148" s="128"/>
      <c r="C148" s="128" t="s">
        <v>245</v>
      </c>
      <c r="D148" s="128" t="s">
        <v>197</v>
      </c>
      <c r="E148" s="128" t="s">
        <v>222</v>
      </c>
      <c r="F148" s="128" t="s">
        <v>292</v>
      </c>
      <c r="G148" s="128" t="s">
        <v>166</v>
      </c>
      <c r="H148" s="73">
        <f>15000+7000</f>
        <v>22000</v>
      </c>
      <c r="I148" s="233" t="s">
        <v>254</v>
      </c>
      <c r="J148" s="246">
        <f>1166.4+2349+10076.18+7429.77</f>
        <v>21021.35</v>
      </c>
      <c r="K148" s="73"/>
      <c r="L148" s="73"/>
      <c r="M148" s="85">
        <f t="shared" si="20"/>
        <v>21021.35</v>
      </c>
      <c r="N148" s="85">
        <f t="shared" si="21"/>
        <v>978.65000000000146</v>
      </c>
      <c r="O148" s="85"/>
    </row>
    <row r="149" spans="1:15" s="51" customFormat="1" ht="15.75" customHeight="1" x14ac:dyDescent="0.2">
      <c r="A149" s="162" t="s">
        <v>28</v>
      </c>
      <c r="B149" s="128"/>
      <c r="C149" s="128" t="s">
        <v>245</v>
      </c>
      <c r="D149" s="128" t="s">
        <v>197</v>
      </c>
      <c r="E149" s="128" t="s">
        <v>222</v>
      </c>
      <c r="F149" s="128" t="s">
        <v>292</v>
      </c>
      <c r="G149" s="128" t="s">
        <v>167</v>
      </c>
      <c r="H149" s="73"/>
      <c r="I149" s="233" t="s">
        <v>254</v>
      </c>
      <c r="J149" s="246"/>
      <c r="K149" s="73"/>
      <c r="L149" s="73"/>
      <c r="M149" s="85">
        <f t="shared" si="20"/>
        <v>0</v>
      </c>
      <c r="N149" s="85">
        <f t="shared" si="21"/>
        <v>0</v>
      </c>
      <c r="O149" s="85"/>
    </row>
    <row r="150" spans="1:15" s="51" customFormat="1" ht="15.75" customHeight="1" x14ac:dyDescent="0.2">
      <c r="A150" s="112" t="s">
        <v>29</v>
      </c>
      <c r="B150" s="128"/>
      <c r="C150" s="128" t="s">
        <v>245</v>
      </c>
      <c r="D150" s="128" t="s">
        <v>197</v>
      </c>
      <c r="E150" s="128" t="s">
        <v>222</v>
      </c>
      <c r="F150" s="128" t="s">
        <v>292</v>
      </c>
      <c r="G150" s="128" t="s">
        <v>168</v>
      </c>
      <c r="H150" s="73"/>
      <c r="I150" s="233" t="s">
        <v>254</v>
      </c>
      <c r="J150" s="246"/>
      <c r="K150" s="73"/>
      <c r="L150" s="73"/>
      <c r="M150" s="85">
        <f t="shared" si="20"/>
        <v>0</v>
      </c>
      <c r="N150" s="85">
        <f t="shared" si="21"/>
        <v>0</v>
      </c>
      <c r="O150" s="85"/>
    </row>
    <row r="151" spans="1:15" s="51" customFormat="1" ht="15.75" customHeight="1" x14ac:dyDescent="0.2">
      <c r="A151" s="112" t="s">
        <v>30</v>
      </c>
      <c r="B151" s="128"/>
      <c r="C151" s="128" t="s">
        <v>245</v>
      </c>
      <c r="D151" s="128" t="s">
        <v>197</v>
      </c>
      <c r="E151" s="128" t="s">
        <v>222</v>
      </c>
      <c r="F151" s="128" t="s">
        <v>292</v>
      </c>
      <c r="G151" s="128" t="s">
        <v>169</v>
      </c>
      <c r="H151" s="73">
        <f>5000-2000</f>
        <v>3000</v>
      </c>
      <c r="I151" s="233" t="s">
        <v>254</v>
      </c>
      <c r="J151" s="246"/>
      <c r="K151" s="73"/>
      <c r="L151" s="73"/>
      <c r="M151" s="85">
        <f t="shared" si="20"/>
        <v>0</v>
      </c>
      <c r="N151" s="85">
        <f t="shared" si="21"/>
        <v>3000</v>
      </c>
      <c r="O151" s="85"/>
    </row>
    <row r="152" spans="1:15" s="68" customFormat="1" ht="15.75" x14ac:dyDescent="0.2">
      <c r="A152" s="91" t="s">
        <v>46</v>
      </c>
      <c r="B152" s="197"/>
      <c r="C152" s="197" t="s">
        <v>145</v>
      </c>
      <c r="D152" s="197" t="s">
        <v>200</v>
      </c>
      <c r="E152" s="197" t="s">
        <v>147</v>
      </c>
      <c r="F152" s="197" t="s">
        <v>145</v>
      </c>
      <c r="G152" s="197" t="s">
        <v>145</v>
      </c>
      <c r="H152" s="95">
        <f>SUM(H153+H155)</f>
        <v>230000</v>
      </c>
      <c r="I152" s="242" t="s">
        <v>254</v>
      </c>
      <c r="J152" s="95">
        <f>SUM(J153+J155)</f>
        <v>86816.859999999986</v>
      </c>
      <c r="K152" s="95">
        <f>SUM(K153+K155)</f>
        <v>0</v>
      </c>
      <c r="L152" s="95">
        <f>SUM(L153+L155)</f>
        <v>0</v>
      </c>
      <c r="M152" s="95">
        <f>SUM(M153+M155)</f>
        <v>86816.859999999986</v>
      </c>
      <c r="N152" s="95">
        <f>SUM(N153+N155)</f>
        <v>143183.14000000001</v>
      </c>
      <c r="O152" s="95"/>
    </row>
    <row r="153" spans="1:15" s="48" customFormat="1" ht="15.75" x14ac:dyDescent="0.2">
      <c r="A153" s="129" t="s">
        <v>47</v>
      </c>
      <c r="B153" s="125"/>
      <c r="C153" s="125" t="s">
        <v>145</v>
      </c>
      <c r="D153" s="125" t="s">
        <v>201</v>
      </c>
      <c r="E153" s="125" t="s">
        <v>147</v>
      </c>
      <c r="F153" s="125" t="s">
        <v>145</v>
      </c>
      <c r="G153" s="125" t="s">
        <v>145</v>
      </c>
      <c r="H153" s="44">
        <f>SUM(H154)</f>
        <v>230000</v>
      </c>
      <c r="I153" s="232" t="s">
        <v>254</v>
      </c>
      <c r="J153" s="44">
        <f>SUM(J154)</f>
        <v>86816.859999999986</v>
      </c>
      <c r="K153" s="44">
        <f>SUM(K154)</f>
        <v>0</v>
      </c>
      <c r="L153" s="44">
        <f>SUM(L154)</f>
        <v>0</v>
      </c>
      <c r="M153" s="44">
        <f>SUM(J153:L153)</f>
        <v>86816.859999999986</v>
      </c>
      <c r="N153" s="44">
        <f>SUM(H153-M153)</f>
        <v>143183.14000000001</v>
      </c>
      <c r="O153" s="44"/>
    </row>
    <row r="154" spans="1:15" s="51" customFormat="1" x14ac:dyDescent="0.2">
      <c r="A154" s="162" t="s">
        <v>48</v>
      </c>
      <c r="B154" s="128"/>
      <c r="C154" s="128" t="s">
        <v>245</v>
      </c>
      <c r="D154" s="128" t="s">
        <v>201</v>
      </c>
      <c r="E154" s="128" t="s">
        <v>202</v>
      </c>
      <c r="F154" s="128" t="s">
        <v>304</v>
      </c>
      <c r="G154" s="128" t="s">
        <v>204</v>
      </c>
      <c r="H154" s="73">
        <v>230000</v>
      </c>
      <c r="I154" s="233" t="s">
        <v>254</v>
      </c>
      <c r="J154" s="246">
        <f>16890.26+13988.65+13972+13988.65+13988.65+13988.65</f>
        <v>86816.859999999986</v>
      </c>
      <c r="K154" s="73"/>
      <c r="L154" s="73"/>
      <c r="M154" s="73">
        <f>SUM(J154:L154)</f>
        <v>86816.859999999986</v>
      </c>
      <c r="N154" s="73">
        <f>SUM(H154-M154)</f>
        <v>143183.14000000001</v>
      </c>
      <c r="O154" s="73"/>
    </row>
    <row r="155" spans="1:15" s="68" customFormat="1" ht="15.75" x14ac:dyDescent="0.2">
      <c r="A155" s="130" t="s">
        <v>49</v>
      </c>
      <c r="B155" s="195"/>
      <c r="C155" s="198" t="s">
        <v>145</v>
      </c>
      <c r="D155" s="198" t="s">
        <v>205</v>
      </c>
      <c r="E155" s="198" t="s">
        <v>147</v>
      </c>
      <c r="F155" s="198" t="s">
        <v>145</v>
      </c>
      <c r="G155" s="198" t="s">
        <v>145</v>
      </c>
      <c r="H155" s="84">
        <f>SUM(H156)</f>
        <v>0</v>
      </c>
      <c r="I155" s="240" t="s">
        <v>254</v>
      </c>
      <c r="J155" s="84">
        <v>0</v>
      </c>
      <c r="K155" s="84">
        <f>SUM(K156)</f>
        <v>0</v>
      </c>
      <c r="L155" s="84">
        <f>SUM(L156)</f>
        <v>0</v>
      </c>
      <c r="M155" s="84">
        <f>SUM(J155:L155)</f>
        <v>0</v>
      </c>
      <c r="N155" s="84">
        <f>SUM(H155-M155)</f>
        <v>0</v>
      </c>
      <c r="O155" s="84"/>
    </row>
    <row r="156" spans="1:15" s="51" customFormat="1" x14ac:dyDescent="0.2">
      <c r="A156" s="162" t="s">
        <v>37</v>
      </c>
      <c r="B156" s="128"/>
      <c r="C156" s="128" t="s">
        <v>245</v>
      </c>
      <c r="D156" s="128" t="s">
        <v>205</v>
      </c>
      <c r="E156" s="128" t="s">
        <v>206</v>
      </c>
      <c r="F156" s="128" t="s">
        <v>203</v>
      </c>
      <c r="G156" s="128" t="s">
        <v>166</v>
      </c>
      <c r="H156" s="73"/>
      <c r="I156" s="233" t="s">
        <v>254</v>
      </c>
      <c r="J156" s="73"/>
      <c r="K156" s="73"/>
      <c r="L156" s="73"/>
      <c r="M156" s="73">
        <f>SUM(J156:L156)</f>
        <v>0</v>
      </c>
      <c r="N156" s="73">
        <f>SUM(H156-M156)</f>
        <v>0</v>
      </c>
      <c r="O156" s="73"/>
    </row>
    <row r="157" spans="1:15" s="68" customFormat="1" ht="15.75" x14ac:dyDescent="0.2">
      <c r="A157" s="91" t="s">
        <v>223</v>
      </c>
      <c r="B157" s="197"/>
      <c r="C157" s="197" t="s">
        <v>145</v>
      </c>
      <c r="D157" s="125" t="s">
        <v>273</v>
      </c>
      <c r="E157" s="197" t="s">
        <v>147</v>
      </c>
      <c r="F157" s="197" t="s">
        <v>145</v>
      </c>
      <c r="G157" s="197" t="s">
        <v>145</v>
      </c>
      <c r="H157" s="95">
        <f>SUM(H158)</f>
        <v>30000</v>
      </c>
      <c r="I157" s="242" t="s">
        <v>254</v>
      </c>
      <c r="J157" s="95">
        <f>SUM(J158)</f>
        <v>5118</v>
      </c>
      <c r="K157" s="95">
        <f>SUM(K158)</f>
        <v>0</v>
      </c>
      <c r="L157" s="95">
        <f>SUM(L158)</f>
        <v>0</v>
      </c>
      <c r="M157" s="95">
        <f>SUM(M158)</f>
        <v>5118</v>
      </c>
      <c r="N157" s="95">
        <f>SUM(N158)</f>
        <v>24882</v>
      </c>
      <c r="O157" s="95"/>
    </row>
    <row r="158" spans="1:15" s="48" customFormat="1" ht="15.75" x14ac:dyDescent="0.2">
      <c r="A158" s="129" t="s">
        <v>224</v>
      </c>
      <c r="B158" s="125"/>
      <c r="C158" s="125" t="s">
        <v>145</v>
      </c>
      <c r="D158" s="125" t="s">
        <v>273</v>
      </c>
      <c r="E158" s="125" t="s">
        <v>225</v>
      </c>
      <c r="F158" s="125" t="s">
        <v>79</v>
      </c>
      <c r="G158" s="125" t="s">
        <v>145</v>
      </c>
      <c r="H158" s="44">
        <f>SUM(H159+H160)</f>
        <v>30000</v>
      </c>
      <c r="I158" s="232" t="s">
        <v>254</v>
      </c>
      <c r="J158" s="44">
        <f>SUM(J159+J160)</f>
        <v>5118</v>
      </c>
      <c r="K158" s="44">
        <f>SUM(K159+K160)</f>
        <v>0</v>
      </c>
      <c r="L158" s="44">
        <f>SUM(L159+L160)</f>
        <v>0</v>
      </c>
      <c r="M158" s="44">
        <f>SUM(M159+M160)</f>
        <v>5118</v>
      </c>
      <c r="N158" s="44">
        <f>SUM(N159+N160)</f>
        <v>24882</v>
      </c>
      <c r="O158" s="44"/>
    </row>
    <row r="159" spans="1:15" s="51" customFormat="1" ht="15.75" customHeight="1" x14ac:dyDescent="0.2">
      <c r="A159" s="162" t="s">
        <v>37</v>
      </c>
      <c r="B159" s="128"/>
      <c r="C159" s="128" t="s">
        <v>245</v>
      </c>
      <c r="D159" s="128" t="s">
        <v>273</v>
      </c>
      <c r="E159" s="128" t="s">
        <v>225</v>
      </c>
      <c r="F159" s="128" t="s">
        <v>292</v>
      </c>
      <c r="G159" s="128" t="s">
        <v>167</v>
      </c>
      <c r="H159" s="73">
        <v>30000</v>
      </c>
      <c r="I159" s="233" t="s">
        <v>254</v>
      </c>
      <c r="J159" s="73">
        <f>5000+118</f>
        <v>5118</v>
      </c>
      <c r="K159" s="73"/>
      <c r="L159" s="73"/>
      <c r="M159" s="85">
        <f>SUM(J159:L159)</f>
        <v>5118</v>
      </c>
      <c r="N159" s="85">
        <f>SUM(H159-M159)</f>
        <v>24882</v>
      </c>
      <c r="O159" s="85"/>
    </row>
    <row r="160" spans="1:15" s="51" customFormat="1" ht="15.75" customHeight="1" x14ac:dyDescent="0.2">
      <c r="A160" s="162" t="s">
        <v>28</v>
      </c>
      <c r="B160" s="128"/>
      <c r="C160" s="128" t="s">
        <v>245</v>
      </c>
      <c r="D160" s="128" t="s">
        <v>273</v>
      </c>
      <c r="E160" s="128" t="s">
        <v>225</v>
      </c>
      <c r="F160" s="128" t="s">
        <v>292</v>
      </c>
      <c r="G160" s="128" t="s">
        <v>169</v>
      </c>
      <c r="H160" s="73"/>
      <c r="I160" s="233" t="s">
        <v>254</v>
      </c>
      <c r="J160" s="73"/>
      <c r="K160" s="73"/>
      <c r="L160" s="73"/>
      <c r="M160" s="85">
        <f>SUM(J160:L160)</f>
        <v>0</v>
      </c>
      <c r="N160" s="85">
        <f>SUM(H160-M160)</f>
        <v>0</v>
      </c>
      <c r="O160" s="85"/>
    </row>
    <row r="161" spans="1:15" s="51" customFormat="1" ht="15.75" x14ac:dyDescent="0.25">
      <c r="A161" s="249"/>
      <c r="B161" s="128"/>
      <c r="C161" s="125"/>
      <c r="D161" s="125"/>
      <c r="E161" s="125"/>
      <c r="F161" s="125"/>
      <c r="G161" s="125"/>
      <c r="H161" s="44"/>
      <c r="I161" s="233"/>
      <c r="J161" s="44"/>
      <c r="K161" s="73"/>
      <c r="L161" s="73"/>
      <c r="M161" s="73"/>
      <c r="N161" s="73"/>
      <c r="O161" s="73"/>
    </row>
    <row r="162" spans="1:15" s="51" customFormat="1" x14ac:dyDescent="0.2">
      <c r="A162" s="162"/>
      <c r="B162" s="128"/>
      <c r="C162" s="128"/>
      <c r="D162" s="128"/>
      <c r="E162" s="128"/>
      <c r="F162" s="128"/>
      <c r="G162" s="128"/>
      <c r="H162" s="73"/>
      <c r="I162" s="233"/>
      <c r="J162" s="73"/>
      <c r="K162" s="73"/>
      <c r="L162" s="73"/>
      <c r="M162" s="73"/>
      <c r="N162" s="73"/>
      <c r="O162" s="73"/>
    </row>
    <row r="163" spans="1:15" s="68" customFormat="1" ht="36" customHeight="1" x14ac:dyDescent="0.2">
      <c r="A163" s="126" t="s">
        <v>104</v>
      </c>
      <c r="B163" s="196"/>
      <c r="C163" s="196"/>
      <c r="D163" s="196"/>
      <c r="E163" s="196"/>
      <c r="F163" s="196"/>
      <c r="G163" s="196"/>
      <c r="H163" s="85">
        <f>SUM(Доходы!D14-Расходы!H6)</f>
        <v>-827700</v>
      </c>
      <c r="I163" s="236" t="s">
        <v>254</v>
      </c>
      <c r="J163" s="85">
        <f>SUM(Доходы!H14-Расходы!J6)</f>
        <v>1670117.5499999998</v>
      </c>
      <c r="K163" s="85">
        <f>SUM(Доходы!F14-Расходы!K6)</f>
        <v>0</v>
      </c>
      <c r="L163" s="85">
        <f>SUM(Доходы!G14-Расходы!L6)</f>
        <v>0</v>
      </c>
      <c r="M163" s="85">
        <f>SUM(Доходы!H14-Расходы!M6)</f>
        <v>1721317.5499999998</v>
      </c>
      <c r="N163" s="85">
        <f>SUM(Доходы!I14-Расходы!N6)</f>
        <v>916882.45000000019</v>
      </c>
      <c r="O163" s="85"/>
    </row>
    <row r="164" spans="1:15" s="68" customFormat="1" x14ac:dyDescent="0.2">
      <c r="A164" s="131"/>
      <c r="B164" s="199"/>
      <c r="C164" s="199"/>
      <c r="D164" s="199"/>
      <c r="E164" s="199"/>
      <c r="F164" s="199"/>
      <c r="G164" s="199"/>
      <c r="H164" s="132"/>
      <c r="I164" s="243"/>
      <c r="J164" s="134"/>
      <c r="K164" s="135"/>
      <c r="L164" s="133"/>
      <c r="M164" s="133"/>
      <c r="N164" s="132"/>
      <c r="O164" s="133"/>
    </row>
    <row r="165" spans="1:15" x14ac:dyDescent="0.2">
      <c r="A165" s="20"/>
      <c r="B165" s="200"/>
      <c r="C165" s="200"/>
      <c r="D165" s="200"/>
      <c r="E165" s="200"/>
      <c r="F165" s="200"/>
      <c r="G165" s="200"/>
      <c r="H165" s="37"/>
      <c r="I165" s="244"/>
      <c r="J165" s="37"/>
      <c r="K165" s="37"/>
      <c r="L165" s="37"/>
      <c r="M165" s="37"/>
      <c r="N165" s="37"/>
      <c r="O165" s="37"/>
    </row>
    <row r="167" spans="1:15" x14ac:dyDescent="0.2">
      <c r="A167" s="1"/>
    </row>
    <row r="169" spans="1:15" ht="18" x14ac:dyDescent="0.2">
      <c r="A169" s="2"/>
    </row>
  </sheetData>
  <mergeCells count="7">
    <mergeCell ref="A1:G1"/>
    <mergeCell ref="B3:G3"/>
    <mergeCell ref="H3:H4"/>
    <mergeCell ref="N3:O3"/>
    <mergeCell ref="I3:I4"/>
    <mergeCell ref="J3:M3"/>
    <mergeCell ref="A3:A4"/>
  </mergeCells>
  <phoneticPr fontId="4" type="noConversion"/>
  <pageMargins left="0" right="0" top="0.78740157480314965" bottom="0" header="0" footer="0"/>
  <pageSetup paperSize="9" scale="51" orientation="landscape" verticalDpi="300" r:id="rId1"/>
  <headerFooter alignWithMargins="0"/>
  <rowBreaks count="3" manualBreakCount="3">
    <brk id="37" max="14" man="1"/>
    <brk id="86" max="14" man="1"/>
    <brk id="1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80" zoomScaleNormal="80" zoomScaleSheetLayoutView="80" workbookViewId="0">
      <pane xSplit="2" ySplit="1" topLeftCell="C2" activePane="bottomRight" state="frozen"/>
      <selection pane="topRight" activeCell="C1" sqref="C1"/>
      <selection pane="bottomLeft" activeCell="A15" sqref="A15"/>
      <selection pane="bottomRight" activeCell="E19" sqref="E19"/>
    </sheetView>
  </sheetViews>
  <sheetFormatPr defaultRowHeight="12.75" x14ac:dyDescent="0.2"/>
  <cols>
    <col min="1" max="1" width="73.28515625" style="9" customWidth="1"/>
    <col min="2" max="2" width="5.140625" style="9" customWidth="1"/>
    <col min="3" max="3" width="36.28515625" style="10" customWidth="1"/>
    <col min="4" max="4" width="17.140625" style="31" customWidth="1"/>
    <col min="5" max="5" width="15" style="31" customWidth="1"/>
    <col min="6" max="6" width="9.140625" style="31"/>
    <col min="7" max="7" width="10.140625" style="31" customWidth="1"/>
    <col min="8" max="8" width="14.7109375" style="31" customWidth="1"/>
    <col min="9" max="9" width="18.42578125" style="31" customWidth="1"/>
    <col min="10" max="16384" width="9.140625" style="9"/>
  </cols>
  <sheetData>
    <row r="1" spans="1:9" s="68" customFormat="1" ht="12.75" customHeight="1" x14ac:dyDescent="0.2">
      <c r="A1" s="285" t="s">
        <v>256</v>
      </c>
      <c r="B1" s="285"/>
      <c r="C1" s="285"/>
      <c r="D1" s="136"/>
      <c r="E1" s="136"/>
      <c r="F1" s="136"/>
      <c r="G1" s="136"/>
      <c r="H1" s="137"/>
      <c r="I1" s="138"/>
    </row>
    <row r="2" spans="1:9" s="11" customFormat="1" ht="20.25" customHeight="1" x14ac:dyDescent="0.2">
      <c r="A2" s="139"/>
      <c r="B2" s="140"/>
      <c r="C2" s="141"/>
      <c r="D2" s="142"/>
      <c r="E2" s="142"/>
      <c r="F2" s="142"/>
      <c r="G2" s="142"/>
      <c r="H2" s="142"/>
      <c r="I2" s="142"/>
    </row>
    <row r="3" spans="1:9" s="187" customFormat="1" ht="51.75" customHeight="1" x14ac:dyDescent="0.2">
      <c r="A3" s="289" t="s">
        <v>87</v>
      </c>
      <c r="B3" s="287" t="s">
        <v>3</v>
      </c>
      <c r="C3" s="298" t="s">
        <v>144</v>
      </c>
      <c r="D3" s="295" t="s">
        <v>250</v>
      </c>
      <c r="E3" s="297" t="s">
        <v>15</v>
      </c>
      <c r="F3" s="297"/>
      <c r="G3" s="297"/>
      <c r="H3" s="297"/>
      <c r="I3" s="291" t="s">
        <v>16</v>
      </c>
    </row>
    <row r="4" spans="1:9" s="190" customFormat="1" ht="72" customHeight="1" x14ac:dyDescent="0.2">
      <c r="A4" s="290"/>
      <c r="B4" s="288"/>
      <c r="C4" s="299"/>
      <c r="D4" s="296"/>
      <c r="E4" s="191" t="s">
        <v>139</v>
      </c>
      <c r="F4" s="186" t="s">
        <v>5</v>
      </c>
      <c r="G4" s="188" t="s">
        <v>17</v>
      </c>
      <c r="H4" s="189" t="s">
        <v>86</v>
      </c>
      <c r="I4" s="292"/>
    </row>
    <row r="5" spans="1:9" s="45" customFormat="1" x14ac:dyDescent="0.2">
      <c r="A5" s="25">
        <v>1</v>
      </c>
      <c r="B5" s="26">
        <v>2</v>
      </c>
      <c r="C5" s="26">
        <v>3</v>
      </c>
      <c r="D5" s="38" t="s">
        <v>88</v>
      </c>
      <c r="E5" s="38" t="s">
        <v>90</v>
      </c>
      <c r="F5" s="38" t="s">
        <v>91</v>
      </c>
      <c r="G5" s="38" t="s">
        <v>92</v>
      </c>
      <c r="H5" s="38" t="s">
        <v>93</v>
      </c>
      <c r="I5" s="39" t="s">
        <v>94</v>
      </c>
    </row>
    <row r="6" spans="1:9" s="68" customFormat="1" ht="15" x14ac:dyDescent="0.2">
      <c r="A6" s="170" t="s">
        <v>50</v>
      </c>
      <c r="B6" s="143" t="s">
        <v>79</v>
      </c>
      <c r="C6" s="144"/>
      <c r="D6" s="145">
        <f>SUM(D11)</f>
        <v>827700</v>
      </c>
      <c r="E6" s="145">
        <f>SUM(E11)</f>
        <v>-1670117.5500000003</v>
      </c>
      <c r="F6" s="145">
        <f>SUM(F11)</f>
        <v>0</v>
      </c>
      <c r="G6" s="145">
        <f>SUM(G11)</f>
        <v>0</v>
      </c>
      <c r="H6" s="95">
        <f t="shared" ref="H6:H14" si="0">SUM(E6:G6)</f>
        <v>-1670117.5500000003</v>
      </c>
      <c r="I6" s="95">
        <f t="shared" ref="I6:I11" si="1">SUM(D6-H6)</f>
        <v>2497817.5500000003</v>
      </c>
    </row>
    <row r="7" spans="1:9" s="68" customFormat="1" ht="15" x14ac:dyDescent="0.2">
      <c r="A7" s="146" t="s">
        <v>95</v>
      </c>
      <c r="B7" s="147"/>
      <c r="C7" s="147"/>
      <c r="D7" s="148"/>
      <c r="E7" s="148"/>
      <c r="F7" s="148"/>
      <c r="G7" s="148"/>
      <c r="H7" s="84">
        <f t="shared" si="0"/>
        <v>0</v>
      </c>
      <c r="I7" s="84">
        <f t="shared" si="1"/>
        <v>0</v>
      </c>
    </row>
    <row r="8" spans="1:9" s="68" customFormat="1" ht="15" x14ac:dyDescent="0.2">
      <c r="A8" s="149" t="s">
        <v>55</v>
      </c>
      <c r="B8" s="147" t="s">
        <v>96</v>
      </c>
      <c r="C8" s="150"/>
      <c r="D8" s="148"/>
      <c r="E8" s="148"/>
      <c r="F8" s="148"/>
      <c r="G8" s="148"/>
      <c r="H8" s="84">
        <f t="shared" si="0"/>
        <v>0</v>
      </c>
      <c r="I8" s="84">
        <f t="shared" si="1"/>
        <v>0</v>
      </c>
    </row>
    <row r="9" spans="1:9" s="68" customFormat="1" ht="15" x14ac:dyDescent="0.2">
      <c r="A9" s="151"/>
      <c r="B9" s="147"/>
      <c r="C9" s="150"/>
      <c r="D9" s="148"/>
      <c r="E9" s="148"/>
      <c r="F9" s="148"/>
      <c r="G9" s="148"/>
      <c r="H9" s="84">
        <f t="shared" si="0"/>
        <v>0</v>
      </c>
      <c r="I9" s="84">
        <f t="shared" si="1"/>
        <v>0</v>
      </c>
    </row>
    <row r="10" spans="1:9" s="68" customFormat="1" ht="15" x14ac:dyDescent="0.2">
      <c r="A10" s="146" t="s">
        <v>97</v>
      </c>
      <c r="B10" s="147" t="s">
        <v>98</v>
      </c>
      <c r="C10" s="150"/>
      <c r="D10" s="148"/>
      <c r="E10" s="148"/>
      <c r="F10" s="148"/>
      <c r="G10" s="148"/>
      <c r="H10" s="84">
        <f t="shared" si="0"/>
        <v>0</v>
      </c>
      <c r="I10" s="84">
        <f t="shared" si="1"/>
        <v>0</v>
      </c>
    </row>
    <row r="11" spans="1:9" s="68" customFormat="1" ht="15" x14ac:dyDescent="0.2">
      <c r="A11" s="171" t="s">
        <v>51</v>
      </c>
      <c r="B11" s="40">
        <v>700</v>
      </c>
      <c r="C11" s="41" t="s">
        <v>132</v>
      </c>
      <c r="D11" s="49">
        <f>SUM(D12-D13)</f>
        <v>827700</v>
      </c>
      <c r="E11" s="49">
        <f>SUM(E12-E13)</f>
        <v>-1670117.5500000003</v>
      </c>
      <c r="F11" s="49">
        <f>SUM(F12-F13)</f>
        <v>0</v>
      </c>
      <c r="G11" s="49">
        <f>SUM(G12-G13)</f>
        <v>0</v>
      </c>
      <c r="H11" s="49">
        <f t="shared" si="0"/>
        <v>-1670117.5500000003</v>
      </c>
      <c r="I11" s="49">
        <f t="shared" si="1"/>
        <v>2497817.5500000003</v>
      </c>
    </row>
    <row r="12" spans="1:9" s="68" customFormat="1" ht="15" x14ac:dyDescent="0.2">
      <c r="A12" s="3" t="s">
        <v>52</v>
      </c>
      <c r="B12" s="4"/>
      <c r="C12" s="7"/>
      <c r="D12" s="85">
        <v>920781.84</v>
      </c>
      <c r="E12" s="85">
        <v>920781.84</v>
      </c>
      <c r="F12" s="85"/>
      <c r="G12" s="85"/>
      <c r="H12" s="84">
        <f t="shared" si="0"/>
        <v>920781.84</v>
      </c>
      <c r="I12" s="84"/>
    </row>
    <row r="13" spans="1:9" s="68" customFormat="1" ht="15" x14ac:dyDescent="0.2">
      <c r="A13" s="3" t="s">
        <v>99</v>
      </c>
      <c r="B13" s="4"/>
      <c r="C13" s="7"/>
      <c r="D13" s="85">
        <v>93081.84</v>
      </c>
      <c r="E13" s="85">
        <f>920781.84+1670117.55</f>
        <v>2590899.39</v>
      </c>
      <c r="F13" s="85"/>
      <c r="G13" s="85"/>
      <c r="H13" s="84">
        <f t="shared" si="0"/>
        <v>2590899.39</v>
      </c>
      <c r="I13" s="84"/>
    </row>
    <row r="14" spans="1:9" s="68" customFormat="1" ht="15" x14ac:dyDescent="0.2">
      <c r="A14" s="3" t="s">
        <v>100</v>
      </c>
      <c r="B14" s="5"/>
      <c r="C14" s="8"/>
      <c r="D14" s="85"/>
      <c r="E14" s="85"/>
      <c r="F14" s="85"/>
      <c r="G14" s="85"/>
      <c r="H14" s="84">
        <f t="shared" si="0"/>
        <v>0</v>
      </c>
      <c r="I14" s="84"/>
    </row>
    <row r="15" spans="1:9" x14ac:dyDescent="0.2">
      <c r="A15" s="27"/>
      <c r="B15" s="27"/>
      <c r="C15" s="28"/>
      <c r="D15" s="33"/>
      <c r="E15" s="33"/>
      <c r="F15" s="33"/>
      <c r="G15" s="33"/>
      <c r="H15" s="33"/>
      <c r="I15" s="33"/>
    </row>
    <row r="16" spans="1:9" ht="13.5" customHeight="1" x14ac:dyDescent="0.2">
      <c r="A16" s="27"/>
      <c r="B16" s="27"/>
      <c r="C16" s="28"/>
      <c r="D16" s="33"/>
      <c r="E16" s="33"/>
      <c r="F16" s="33"/>
      <c r="G16" s="33"/>
      <c r="H16" s="33"/>
      <c r="I16" s="33"/>
    </row>
    <row r="17" spans="1:9" s="208" customFormat="1" ht="12.75" customHeight="1" x14ac:dyDescent="0.2">
      <c r="A17" s="212" t="s">
        <v>322</v>
      </c>
      <c r="B17" s="206"/>
      <c r="C17" s="205" t="s">
        <v>323</v>
      </c>
      <c r="D17" s="206"/>
      <c r="E17" s="213"/>
      <c r="F17" s="213"/>
      <c r="G17" s="213"/>
      <c r="H17" s="213"/>
      <c r="I17" s="220"/>
    </row>
    <row r="18" spans="1:9" x14ac:dyDescent="0.2">
      <c r="A18" s="286" t="s">
        <v>212</v>
      </c>
      <c r="B18" s="286"/>
      <c r="C18" s="204" t="s">
        <v>209</v>
      </c>
      <c r="D18" s="33"/>
      <c r="E18" s="33"/>
      <c r="F18" s="33"/>
      <c r="G18" s="33"/>
      <c r="H18" s="33"/>
      <c r="I18" s="33"/>
    </row>
    <row r="19" spans="1:9" x14ac:dyDescent="0.2">
      <c r="A19" s="24"/>
      <c r="B19" s="24"/>
      <c r="C19" s="24"/>
      <c r="D19" s="33"/>
      <c r="E19" s="33"/>
      <c r="F19" s="33"/>
      <c r="G19" s="37"/>
      <c r="H19" s="33"/>
      <c r="I19" s="33"/>
    </row>
    <row r="20" spans="1:9" s="208" customFormat="1" ht="19.5" customHeight="1" x14ac:dyDescent="0.2">
      <c r="A20" s="210" t="s">
        <v>210</v>
      </c>
      <c r="B20" s="209"/>
      <c r="C20" s="211" t="s">
        <v>262</v>
      </c>
      <c r="D20" s="207"/>
      <c r="E20" s="207"/>
      <c r="F20" s="207"/>
      <c r="G20" s="207"/>
      <c r="H20" s="207"/>
      <c r="I20" s="207"/>
    </row>
    <row r="21" spans="1:9" x14ac:dyDescent="0.2">
      <c r="A21" s="22" t="s">
        <v>211</v>
      </c>
      <c r="B21" s="22"/>
      <c r="C21" s="204" t="s">
        <v>209</v>
      </c>
      <c r="D21" s="33" t="s">
        <v>270</v>
      </c>
      <c r="E21" s="33"/>
      <c r="F21" s="33"/>
      <c r="G21" s="33"/>
      <c r="H21" s="33"/>
      <c r="I21" s="33"/>
    </row>
    <row r="22" spans="1:9" x14ac:dyDescent="0.2">
      <c r="A22" s="22"/>
      <c r="B22" s="22"/>
      <c r="C22" s="23"/>
      <c r="D22" s="293"/>
      <c r="E22" s="293"/>
      <c r="F22" s="293"/>
      <c r="G22" s="293"/>
      <c r="H22" s="293"/>
      <c r="I22" s="293"/>
    </row>
    <row r="23" spans="1:9" ht="15" x14ac:dyDescent="0.2">
      <c r="A23" s="227"/>
      <c r="B23" s="24"/>
      <c r="C23" s="294"/>
      <c r="D23" s="294"/>
      <c r="E23" s="294"/>
      <c r="F23" s="294"/>
      <c r="G23" s="294"/>
      <c r="H23" s="294"/>
      <c r="I23" s="294"/>
    </row>
    <row r="24" spans="1:9" x14ac:dyDescent="0.2">
      <c r="A24" s="24"/>
      <c r="B24" s="24"/>
      <c r="C24" s="214"/>
      <c r="D24" s="294"/>
      <c r="E24" s="294"/>
      <c r="F24" s="294"/>
      <c r="G24" s="294"/>
      <c r="H24" s="294"/>
      <c r="I24" s="294"/>
    </row>
    <row r="25" spans="1:9" x14ac:dyDescent="0.2">
      <c r="A25" s="23"/>
      <c r="B25" s="23"/>
      <c r="C25" s="21"/>
      <c r="D25" s="138"/>
      <c r="E25" s="138"/>
      <c r="F25" s="138"/>
      <c r="G25" s="138"/>
      <c r="H25" s="138"/>
      <c r="I25" s="138"/>
    </row>
    <row r="26" spans="1:9" x14ac:dyDescent="0.2">
      <c r="A26" s="20"/>
      <c r="B26" s="20"/>
      <c r="C26" s="20"/>
      <c r="D26" s="37"/>
      <c r="E26" s="37"/>
      <c r="F26" s="37"/>
      <c r="G26" s="37"/>
      <c r="H26" s="37"/>
      <c r="I26" s="37"/>
    </row>
    <row r="27" spans="1:9" x14ac:dyDescent="0.2">
      <c r="A27" s="20"/>
      <c r="B27" s="20"/>
      <c r="C27" s="20"/>
      <c r="D27" s="37"/>
      <c r="E27" s="37"/>
      <c r="F27" s="37"/>
      <c r="G27" s="37"/>
      <c r="H27" s="37"/>
      <c r="I27" s="37"/>
    </row>
    <row r="28" spans="1:9" x14ac:dyDescent="0.2">
      <c r="A28" s="20"/>
      <c r="B28" s="20"/>
      <c r="C28" s="20"/>
      <c r="D28" s="37"/>
      <c r="E28" s="37"/>
      <c r="F28" s="37"/>
      <c r="G28" s="37"/>
      <c r="H28" s="37"/>
      <c r="I28" s="37"/>
    </row>
    <row r="29" spans="1:9" x14ac:dyDescent="0.2">
      <c r="A29" s="20"/>
      <c r="B29" s="20"/>
      <c r="C29" s="20"/>
      <c r="D29" s="37"/>
      <c r="E29" s="37"/>
      <c r="F29" s="37"/>
      <c r="G29" s="37"/>
      <c r="H29" s="37"/>
      <c r="I29" s="37"/>
    </row>
    <row r="30" spans="1:9" x14ac:dyDescent="0.2">
      <c r="A30" s="20"/>
      <c r="B30" s="20"/>
      <c r="C30" s="20"/>
      <c r="D30" s="37"/>
      <c r="E30" s="37"/>
      <c r="F30" s="37"/>
      <c r="G30" s="37"/>
      <c r="H30" s="37"/>
      <c r="I30" s="37"/>
    </row>
    <row r="31" spans="1:9" x14ac:dyDescent="0.2">
      <c r="A31" s="20"/>
      <c r="B31" s="20"/>
      <c r="C31" s="20"/>
      <c r="D31" s="37"/>
      <c r="E31" s="37"/>
      <c r="F31" s="37"/>
      <c r="G31" s="37"/>
      <c r="H31" s="37"/>
      <c r="I31" s="37"/>
    </row>
    <row r="32" spans="1:9" x14ac:dyDescent="0.2">
      <c r="A32" s="20"/>
      <c r="B32" s="20"/>
      <c r="C32" s="20"/>
      <c r="D32" s="37"/>
      <c r="E32" s="37"/>
      <c r="F32" s="37"/>
      <c r="G32" s="37"/>
      <c r="H32" s="37"/>
      <c r="I32" s="37"/>
    </row>
    <row r="33" spans="1:9" x14ac:dyDescent="0.2">
      <c r="A33" s="20"/>
      <c r="B33" s="20"/>
      <c r="C33" s="20"/>
      <c r="D33" s="37"/>
      <c r="E33" s="37"/>
      <c r="F33" s="37"/>
      <c r="G33" s="37"/>
      <c r="H33" s="37"/>
      <c r="I33" s="37"/>
    </row>
    <row r="34" spans="1:9" x14ac:dyDescent="0.2">
      <c r="A34" s="20"/>
      <c r="B34" s="20"/>
      <c r="C34" s="20"/>
      <c r="D34" s="37"/>
      <c r="E34" s="37"/>
      <c r="F34" s="37"/>
      <c r="G34" s="37"/>
      <c r="H34" s="37"/>
      <c r="I34" s="37"/>
    </row>
    <row r="36" spans="1:9" x14ac:dyDescent="0.2">
      <c r="A36" s="1"/>
    </row>
    <row r="38" spans="1:9" ht="18" x14ac:dyDescent="0.2">
      <c r="A38" s="2"/>
    </row>
  </sheetData>
  <mergeCells count="11">
    <mergeCell ref="D22:I22"/>
    <mergeCell ref="D24:I24"/>
    <mergeCell ref="C23:I23"/>
    <mergeCell ref="D3:D4"/>
    <mergeCell ref="E3:H3"/>
    <mergeCell ref="C3:C4"/>
    <mergeCell ref="A1:C1"/>
    <mergeCell ref="A18:B18"/>
    <mergeCell ref="B3:B4"/>
    <mergeCell ref="A3:A4"/>
    <mergeCell ref="I3:I4"/>
  </mergeCells>
  <phoneticPr fontId="4" type="noConversion"/>
  <pageMargins left="0.19685039370078741" right="0.19685039370078741" top="0.59055118110236227" bottom="0" header="0" footer="0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2015-07-01T12:24:06Z</cp:lastPrinted>
  <dcterms:created xsi:type="dcterms:W3CDTF">2008-04-03T05:22:18Z</dcterms:created>
  <dcterms:modified xsi:type="dcterms:W3CDTF">2015-07-07T08:24:37Z</dcterms:modified>
</cp:coreProperties>
</file>