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9990" windowHeight="582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Доходы!$A$1:$I$80</definedName>
    <definedName name="_xlnm.Print_Area" localSheetId="2">Источники!$A$1:$I$27</definedName>
    <definedName name="_xlnm.Print_Area" localSheetId="1">Расходы!$A$1:$O$159</definedName>
  </definedNames>
  <calcPr calcId="145621"/>
</workbook>
</file>

<file path=xl/calcChain.xml><?xml version="1.0" encoding="utf-8"?>
<calcChain xmlns="http://schemas.openxmlformats.org/spreadsheetml/2006/main">
  <c r="E13" i="4" l="1"/>
  <c r="J18" i="3"/>
  <c r="E35" i="2" l="1"/>
  <c r="E44" i="2"/>
  <c r="E37" i="2"/>
  <c r="E32" i="2"/>
  <c r="E22" i="2"/>
  <c r="E27" i="2"/>
  <c r="E26" i="2"/>
  <c r="E25" i="2"/>
  <c r="E24" i="2"/>
  <c r="J149" i="3" l="1"/>
  <c r="J111" i="3"/>
  <c r="H144" i="3" l="1"/>
  <c r="H130" i="3"/>
  <c r="H113" i="3"/>
  <c r="H98" i="3"/>
  <c r="H73" i="3"/>
  <c r="H72" i="3"/>
  <c r="H71" i="3"/>
  <c r="H17" i="3"/>
  <c r="H15" i="3"/>
  <c r="J107" i="3"/>
  <c r="J97" i="3"/>
  <c r="J71" i="3"/>
  <c r="J40" i="3"/>
  <c r="J24" i="3"/>
  <c r="J22" i="3"/>
  <c r="J43" i="3"/>
  <c r="J21" i="3"/>
  <c r="J31" i="3"/>
  <c r="J73" i="3"/>
  <c r="J131" i="3"/>
  <c r="J126" i="3"/>
  <c r="J16" i="3"/>
  <c r="J142" i="3"/>
  <c r="J137" i="3"/>
  <c r="J130" i="3"/>
  <c r="J125" i="3"/>
  <c r="J17" i="3"/>
  <c r="J15" i="3"/>
  <c r="J141" i="3"/>
  <c r="J96" i="3"/>
  <c r="J20" i="3"/>
  <c r="J72" i="3"/>
  <c r="J98" i="3"/>
  <c r="J114" i="3"/>
  <c r="J27" i="3"/>
  <c r="J26" i="3"/>
  <c r="J146" i="3"/>
  <c r="J144" i="3"/>
  <c r="J122" i="3"/>
  <c r="J113" i="3"/>
  <c r="H39" i="2" l="1"/>
  <c r="H93" i="3" l="1"/>
  <c r="H48" i="3"/>
  <c r="H49" i="3"/>
  <c r="H24" i="3"/>
  <c r="J139" i="3" l="1"/>
  <c r="J127" i="3"/>
  <c r="J41" i="3"/>
  <c r="J93" i="3" l="1"/>
  <c r="J23" i="3"/>
  <c r="J132" i="3"/>
  <c r="J109" i="3"/>
  <c r="J19" i="3"/>
  <c r="J48" i="3"/>
  <c r="J90" i="3"/>
  <c r="J68" i="3" l="1"/>
  <c r="E55" i="2" l="1"/>
  <c r="E64" i="2"/>
  <c r="H73" i="2"/>
  <c r="I73" i="2" s="1"/>
  <c r="H74" i="2"/>
  <c r="I74" i="2"/>
  <c r="H90" i="3" l="1"/>
  <c r="H135" i="3" l="1"/>
  <c r="H132" i="3"/>
  <c r="H114" i="3"/>
  <c r="J135" i="3" l="1"/>
  <c r="J153" i="3" l="1"/>
  <c r="J100" i="3" l="1"/>
  <c r="J154" i="3" l="1"/>
  <c r="J25" i="3"/>
  <c r="J36" i="3" l="1"/>
  <c r="J152" i="3"/>
  <c r="J129" i="3" l="1"/>
  <c r="J29" i="3"/>
  <c r="H91" i="3" l="1"/>
  <c r="H107" i="3"/>
  <c r="H29" i="3"/>
  <c r="H27" i="3"/>
  <c r="J148" i="3" l="1"/>
  <c r="M37" i="3" l="1"/>
  <c r="N37" i="3" s="1"/>
  <c r="L36" i="3"/>
  <c r="K36" i="3"/>
  <c r="M36" i="3" s="1"/>
  <c r="N36" i="3" s="1"/>
  <c r="H36" i="3"/>
  <c r="L38" i="3"/>
  <c r="K38" i="3"/>
  <c r="H38" i="3"/>
  <c r="N35" i="3"/>
  <c r="M35" i="3"/>
  <c r="J28" i="3" l="1"/>
  <c r="H131" i="3" l="1"/>
  <c r="J110" i="3" l="1"/>
  <c r="J147" i="3"/>
  <c r="J136" i="3"/>
  <c r="J124" i="3"/>
  <c r="J120" i="3"/>
  <c r="J119" i="3" s="1"/>
  <c r="J115" i="3"/>
  <c r="J105" i="3"/>
  <c r="J101" i="3"/>
  <c r="J95" i="3"/>
  <c r="J84" i="3"/>
  <c r="J70" i="3"/>
  <c r="J67" i="3"/>
  <c r="J60" i="3"/>
  <c r="J56" i="3"/>
  <c r="J52" i="3"/>
  <c r="J39" i="3"/>
  <c r="J38" i="3" s="1"/>
  <c r="M38" i="3" s="1"/>
  <c r="N38" i="3" s="1"/>
  <c r="J14" i="3"/>
  <c r="J7" i="3" s="1"/>
  <c r="J66" i="3" l="1"/>
  <c r="J123" i="3"/>
  <c r="J94" i="3"/>
  <c r="J78" i="3" s="1"/>
  <c r="J47" i="3"/>
  <c r="J6" i="3" l="1"/>
  <c r="E23" i="2"/>
  <c r="H26" i="3" l="1"/>
  <c r="H111" i="3"/>
  <c r="H28" i="3"/>
  <c r="D15" i="2"/>
  <c r="D17" i="2"/>
  <c r="D23" i="2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H106" i="3" l="1"/>
  <c r="M72" i="3" l="1"/>
  <c r="N72" i="3" s="1"/>
  <c r="M51" i="3" l="1"/>
  <c r="N51" i="3" s="1"/>
  <c r="H56" i="3" l="1"/>
  <c r="M61" i="3"/>
  <c r="N61" i="3"/>
  <c r="M57" i="3"/>
  <c r="N57" i="3" s="1"/>
  <c r="H60" i="3" l="1"/>
  <c r="M62" i="3"/>
  <c r="N62" i="3" s="1"/>
  <c r="N60" i="3" s="1"/>
  <c r="M60" i="3" l="1"/>
  <c r="H67" i="2"/>
  <c r="E43" i="2" l="1"/>
  <c r="M18" i="3" l="1"/>
  <c r="N18" i="3" s="1"/>
  <c r="E36" i="2"/>
  <c r="I35" i="2"/>
  <c r="M107" i="3"/>
  <c r="N107" i="3" s="1"/>
  <c r="M41" i="3"/>
  <c r="N41" i="3" s="1"/>
  <c r="M100" i="3"/>
  <c r="M133" i="3"/>
  <c r="N133" i="3" s="1"/>
  <c r="H95" i="3"/>
  <c r="M28" i="3"/>
  <c r="N28" i="3" s="1"/>
  <c r="D34" i="2"/>
  <c r="D36" i="2"/>
  <c r="D31" i="2"/>
  <c r="D38" i="2"/>
  <c r="D43" i="2"/>
  <c r="D64" i="2"/>
  <c r="H52" i="3"/>
  <c r="H14" i="3"/>
  <c r="H7" i="3" s="1"/>
  <c r="H105" i="3"/>
  <c r="H110" i="3"/>
  <c r="H124" i="3"/>
  <c r="H67" i="3"/>
  <c r="E19" i="2"/>
  <c r="E17" i="2" s="1"/>
  <c r="E31" i="2"/>
  <c r="E34" i="2"/>
  <c r="E40" i="2"/>
  <c r="E51" i="2"/>
  <c r="E58" i="2"/>
  <c r="E38" i="2"/>
  <c r="M95" i="3"/>
  <c r="M30" i="3"/>
  <c r="N30" i="3" s="1"/>
  <c r="E60" i="2"/>
  <c r="H62" i="2"/>
  <c r="I62" i="2" s="1"/>
  <c r="H61" i="2"/>
  <c r="I61" i="2" s="1"/>
  <c r="D60" i="2"/>
  <c r="F60" i="2"/>
  <c r="G60" i="2"/>
  <c r="M90" i="3"/>
  <c r="N90" i="3" s="1"/>
  <c r="M77" i="3"/>
  <c r="N77" i="3" s="1"/>
  <c r="H70" i="3"/>
  <c r="M74" i="3"/>
  <c r="N74" i="3" s="1"/>
  <c r="H84" i="3"/>
  <c r="M89" i="3"/>
  <c r="N89" i="3" s="1"/>
  <c r="M98" i="3"/>
  <c r="N98" i="3" s="1"/>
  <c r="M58" i="3"/>
  <c r="N58" i="3" s="1"/>
  <c r="N56" i="3" s="1"/>
  <c r="M59" i="3"/>
  <c r="M63" i="3"/>
  <c r="N63" i="3" s="1"/>
  <c r="M49" i="3"/>
  <c r="M50" i="3"/>
  <c r="N50" i="3" s="1"/>
  <c r="L56" i="3"/>
  <c r="L60" i="3"/>
  <c r="L48" i="3"/>
  <c r="K56" i="3"/>
  <c r="K60" i="3"/>
  <c r="K48" i="3"/>
  <c r="H64" i="3"/>
  <c r="M68" i="3"/>
  <c r="M69" i="3"/>
  <c r="N69" i="3" s="1"/>
  <c r="M71" i="3"/>
  <c r="N71" i="3" s="1"/>
  <c r="M73" i="3"/>
  <c r="N73" i="3" s="1"/>
  <c r="K75" i="3"/>
  <c r="L75" i="3"/>
  <c r="L67" i="3"/>
  <c r="L70" i="3"/>
  <c r="K67" i="3"/>
  <c r="K70" i="3"/>
  <c r="M27" i="3"/>
  <c r="N27" i="3" s="1"/>
  <c r="M26" i="3"/>
  <c r="N26" i="3" s="1"/>
  <c r="M24" i="3"/>
  <c r="M22" i="3"/>
  <c r="N22" i="3" s="1"/>
  <c r="M65" i="3"/>
  <c r="N65" i="3" s="1"/>
  <c r="M97" i="3"/>
  <c r="N97" i="3" s="1"/>
  <c r="H101" i="3"/>
  <c r="H115" i="3"/>
  <c r="M86" i="3"/>
  <c r="N86" i="3" s="1"/>
  <c r="E47" i="2"/>
  <c r="E46" i="2" s="1"/>
  <c r="E42" i="2" s="1"/>
  <c r="E56" i="2"/>
  <c r="E49" i="2"/>
  <c r="E28" i="2"/>
  <c r="D52" i="2"/>
  <c r="D51" i="2" s="1"/>
  <c r="F52" i="2"/>
  <c r="F51" i="2" s="1"/>
  <c r="G52" i="2"/>
  <c r="G51" i="2" s="1"/>
  <c r="G50" i="2" s="1"/>
  <c r="G49" i="2" s="1"/>
  <c r="H79" i="3"/>
  <c r="K120" i="3"/>
  <c r="K119" i="3" s="1"/>
  <c r="K115" i="3" s="1"/>
  <c r="L120" i="3"/>
  <c r="L119" i="3" s="1"/>
  <c r="L115" i="3" s="1"/>
  <c r="H71" i="2"/>
  <c r="I71" i="2" s="1"/>
  <c r="H8" i="3"/>
  <c r="H11" i="3"/>
  <c r="H32" i="3"/>
  <c r="H34" i="3"/>
  <c r="H136" i="3"/>
  <c r="H39" i="3"/>
  <c r="H148" i="3"/>
  <c r="H150" i="3"/>
  <c r="H120" i="3"/>
  <c r="H119" i="3" s="1"/>
  <c r="H153" i="3"/>
  <c r="H152" i="3" s="1"/>
  <c r="H54" i="2"/>
  <c r="I54" i="2" s="1"/>
  <c r="H53" i="2"/>
  <c r="I53" i="2" s="1"/>
  <c r="H70" i="2"/>
  <c r="I70" i="2" s="1"/>
  <c r="M93" i="3"/>
  <c r="N93" i="3" s="1"/>
  <c r="K34" i="3"/>
  <c r="M34" i="3" s="1"/>
  <c r="L34" i="3"/>
  <c r="D19" i="2"/>
  <c r="D16" i="2" s="1"/>
  <c r="D47" i="2"/>
  <c r="D46" i="2"/>
  <c r="D42" i="2" s="1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2" i="3"/>
  <c r="L8" i="3"/>
  <c r="L11" i="3"/>
  <c r="L14" i="3"/>
  <c r="L32" i="3"/>
  <c r="L52" i="3"/>
  <c r="K39" i="3"/>
  <c r="L39" i="3"/>
  <c r="K79" i="3"/>
  <c r="K84" i="3"/>
  <c r="K95" i="3"/>
  <c r="K101" i="3"/>
  <c r="K105" i="3"/>
  <c r="K110" i="3"/>
  <c r="L79" i="3"/>
  <c r="L84" i="3"/>
  <c r="L95" i="3"/>
  <c r="L101" i="3"/>
  <c r="L105" i="3"/>
  <c r="L110" i="3"/>
  <c r="M154" i="3"/>
  <c r="N154" i="3" s="1"/>
  <c r="M155" i="3"/>
  <c r="N155" i="3" s="1"/>
  <c r="M122" i="3"/>
  <c r="M121" i="3"/>
  <c r="N121" i="3" s="1"/>
  <c r="M125" i="3"/>
  <c r="M126" i="3"/>
  <c r="M127" i="3"/>
  <c r="N127" i="3" s="1"/>
  <c r="M129" i="3"/>
  <c r="N129" i="3" s="1"/>
  <c r="M130" i="3"/>
  <c r="N130" i="3" s="1"/>
  <c r="M131" i="3"/>
  <c r="N131" i="3" s="1"/>
  <c r="M132" i="3"/>
  <c r="N132" i="3" s="1"/>
  <c r="M135" i="3"/>
  <c r="N135" i="3" s="1"/>
  <c r="M128" i="3"/>
  <c r="N128" i="3" s="1"/>
  <c r="M134" i="3"/>
  <c r="N134" i="3" s="1"/>
  <c r="M137" i="3"/>
  <c r="N137" i="3" s="1"/>
  <c r="M138" i="3"/>
  <c r="N138" i="3" s="1"/>
  <c r="M139" i="3"/>
  <c r="N139" i="3" s="1"/>
  <c r="M141" i="3"/>
  <c r="N141" i="3" s="1"/>
  <c r="M142" i="3"/>
  <c r="N142" i="3" s="1"/>
  <c r="M143" i="3"/>
  <c r="M146" i="3"/>
  <c r="N146" i="3" s="1"/>
  <c r="M140" i="3"/>
  <c r="N140" i="3" s="1"/>
  <c r="M144" i="3"/>
  <c r="N144" i="3" s="1"/>
  <c r="M145" i="3"/>
  <c r="N145" i="3" s="1"/>
  <c r="K148" i="3"/>
  <c r="L148" i="3"/>
  <c r="K150" i="3"/>
  <c r="L150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I39" i="2"/>
  <c r="H37" i="2"/>
  <c r="I37" i="2" s="1"/>
  <c r="H32" i="2"/>
  <c r="I32" i="2" s="1"/>
  <c r="H29" i="2"/>
  <c r="I29" i="2" s="1"/>
  <c r="H18" i="2"/>
  <c r="I18" i="2" s="1"/>
  <c r="H20" i="2"/>
  <c r="I20" i="2" s="1"/>
  <c r="H21" i="2"/>
  <c r="I21" i="2" s="1"/>
  <c r="H27" i="2"/>
  <c r="I27" i="2" s="1"/>
  <c r="M44" i="3"/>
  <c r="N44" i="3" s="1"/>
  <c r="K153" i="3"/>
  <c r="K152" i="3" s="1"/>
  <c r="L153" i="3"/>
  <c r="L152" i="3" s="1"/>
  <c r="M81" i="3"/>
  <c r="N81" i="3" s="1"/>
  <c r="M82" i="3"/>
  <c r="N82" i="3" s="1"/>
  <c r="M83" i="3"/>
  <c r="N83" i="3" s="1"/>
  <c r="M76" i="3"/>
  <c r="N76" i="3" s="1"/>
  <c r="M53" i="3"/>
  <c r="N53" i="3" s="1"/>
  <c r="M54" i="3"/>
  <c r="N54" i="3" s="1"/>
  <c r="M55" i="3"/>
  <c r="N55" i="3" s="1"/>
  <c r="M40" i="3"/>
  <c r="N40" i="3" s="1"/>
  <c r="M42" i="3"/>
  <c r="N42" i="3" s="1"/>
  <c r="M43" i="3"/>
  <c r="N43" i="3" s="1"/>
  <c r="M45" i="3"/>
  <c r="N45" i="3" s="1"/>
  <c r="M46" i="3"/>
  <c r="N46" i="3" s="1"/>
  <c r="K124" i="3"/>
  <c r="K136" i="3"/>
  <c r="L124" i="3"/>
  <c r="L136" i="3"/>
  <c r="M80" i="3"/>
  <c r="N80" i="3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4" i="3"/>
  <c r="M85" i="3"/>
  <c r="N85" i="3" s="1"/>
  <c r="M87" i="3"/>
  <c r="N87" i="3" s="1"/>
  <c r="M91" i="3"/>
  <c r="N91" i="3" s="1"/>
  <c r="M92" i="3"/>
  <c r="N92" i="3" s="1"/>
  <c r="M96" i="3"/>
  <c r="N96" i="3" s="1"/>
  <c r="M99" i="3"/>
  <c r="N99" i="3" s="1"/>
  <c r="M101" i="3"/>
  <c r="N101" i="3" s="1"/>
  <c r="M102" i="3"/>
  <c r="N102" i="3"/>
  <c r="M103" i="3"/>
  <c r="N103" i="3" s="1"/>
  <c r="M104" i="3"/>
  <c r="N104" i="3" s="1"/>
  <c r="M106" i="3"/>
  <c r="N106" i="3" s="1"/>
  <c r="M108" i="3"/>
  <c r="N108" i="3" s="1"/>
  <c r="M109" i="3"/>
  <c r="N109" i="3" s="1"/>
  <c r="M111" i="3"/>
  <c r="N111" i="3" s="1"/>
  <c r="M112" i="3"/>
  <c r="N112" i="3" s="1"/>
  <c r="M113" i="3"/>
  <c r="N113" i="3" s="1"/>
  <c r="M114" i="3"/>
  <c r="N114" i="3" s="1"/>
  <c r="M149" i="3"/>
  <c r="N149" i="3" s="1"/>
  <c r="M151" i="3"/>
  <c r="N151" i="3" s="1"/>
  <c r="E16" i="2" l="1"/>
  <c r="F33" i="2"/>
  <c r="D33" i="2"/>
  <c r="D30" i="2" s="1"/>
  <c r="H40" i="2"/>
  <c r="H47" i="2"/>
  <c r="I47" i="2" s="1"/>
  <c r="H60" i="2"/>
  <c r="I60" i="2" s="1"/>
  <c r="H31" i="2"/>
  <c r="I31" i="2" s="1"/>
  <c r="L123" i="3"/>
  <c r="L66" i="3"/>
  <c r="H147" i="3"/>
  <c r="M75" i="3"/>
  <c r="M48" i="3"/>
  <c r="M14" i="3"/>
  <c r="N14" i="3" s="1"/>
  <c r="L47" i="3"/>
  <c r="K123" i="3"/>
  <c r="L147" i="3"/>
  <c r="K47" i="3"/>
  <c r="I69" i="2"/>
  <c r="H64" i="2"/>
  <c r="I64" i="2" s="1"/>
  <c r="L94" i="3"/>
  <c r="K66" i="3"/>
  <c r="M56" i="3"/>
  <c r="N100" i="3"/>
  <c r="M110" i="3"/>
  <c r="N110" i="3" s="1"/>
  <c r="K147" i="3"/>
  <c r="M32" i="3"/>
  <c r="N32" i="3" s="1"/>
  <c r="M67" i="3"/>
  <c r="N24" i="3"/>
  <c r="H38" i="2"/>
  <c r="I38" i="2" s="1"/>
  <c r="N95" i="3"/>
  <c r="H46" i="2"/>
  <c r="I46" i="2" s="1"/>
  <c r="H6" i="4"/>
  <c r="I6" i="4" s="1"/>
  <c r="H19" i="2"/>
  <c r="I19" i="2" s="1"/>
  <c r="I52" i="2"/>
  <c r="N125" i="3"/>
  <c r="K94" i="3"/>
  <c r="H36" i="2"/>
  <c r="I36" i="2" s="1"/>
  <c r="F30" i="2"/>
  <c r="N88" i="3"/>
  <c r="N34" i="3"/>
  <c r="H94" i="3"/>
  <c r="H78" i="3" s="1"/>
  <c r="N68" i="3"/>
  <c r="N67" i="3" s="1"/>
  <c r="M105" i="3"/>
  <c r="N105" i="3" s="1"/>
  <c r="N79" i="3"/>
  <c r="M150" i="3"/>
  <c r="N150" i="3" s="1"/>
  <c r="H58" i="2"/>
  <c r="I58" i="2" s="1"/>
  <c r="M11" i="3"/>
  <c r="N11" i="3" s="1"/>
  <c r="N49" i="3"/>
  <c r="N48" i="3" s="1"/>
  <c r="N59" i="3"/>
  <c r="N84" i="3"/>
  <c r="N75" i="3"/>
  <c r="H66" i="3"/>
  <c r="G42" i="2"/>
  <c r="E33" i="2"/>
  <c r="E30" i="2" s="1"/>
  <c r="I40" i="2"/>
  <c r="H34" i="2"/>
  <c r="I34" i="2" s="1"/>
  <c r="M148" i="3"/>
  <c r="M147" i="3" s="1"/>
  <c r="H28" i="2"/>
  <c r="I28" i="2" s="1"/>
  <c r="H123" i="3"/>
  <c r="M115" i="3"/>
  <c r="N115" i="3" s="1"/>
  <c r="H47" i="3"/>
  <c r="M136" i="3"/>
  <c r="N143" i="3"/>
  <c r="N136" i="3" s="1"/>
  <c r="N70" i="3"/>
  <c r="M70" i="3"/>
  <c r="H11" i="4"/>
  <c r="I11" i="4" s="1"/>
  <c r="M39" i="3"/>
  <c r="M52" i="3"/>
  <c r="M153" i="3"/>
  <c r="M152" i="3" s="1"/>
  <c r="H43" i="2"/>
  <c r="I43" i="2" s="1"/>
  <c r="I65" i="2"/>
  <c r="N126" i="3"/>
  <c r="M124" i="3"/>
  <c r="N122" i="3"/>
  <c r="N120" i="3" s="1"/>
  <c r="N119" i="3" s="1"/>
  <c r="M120" i="3"/>
  <c r="M119" i="3" s="1"/>
  <c r="K7" i="3"/>
  <c r="G55" i="2"/>
  <c r="H55" i="2" s="1"/>
  <c r="I55" i="2" s="1"/>
  <c r="H56" i="2"/>
  <c r="I56" i="2" s="1"/>
  <c r="D49" i="2"/>
  <c r="L78" i="3"/>
  <c r="M79" i="3"/>
  <c r="N39" i="3"/>
  <c r="N153" i="3"/>
  <c r="N152" i="3" s="1"/>
  <c r="G33" i="2"/>
  <c r="G30" i="2" s="1"/>
  <c r="N52" i="3"/>
  <c r="K78" i="3"/>
  <c r="L7" i="3"/>
  <c r="F42" i="2"/>
  <c r="F50" i="2"/>
  <c r="H51" i="2"/>
  <c r="I51" i="2" s="1"/>
  <c r="H42" i="2" l="1"/>
  <c r="I42" i="2" s="1"/>
  <c r="G15" i="2"/>
  <c r="H6" i="3"/>
  <c r="M66" i="3"/>
  <c r="H16" i="2"/>
  <c r="I16" i="2" s="1"/>
  <c r="E15" i="2"/>
  <c r="E14" i="2" s="1"/>
  <c r="M47" i="3"/>
  <c r="H17" i="2"/>
  <c r="I17" i="2" s="1"/>
  <c r="N66" i="3"/>
  <c r="N124" i="3"/>
  <c r="N123" i="3" s="1"/>
  <c r="N148" i="3"/>
  <c r="N147" i="3" s="1"/>
  <c r="H33" i="2"/>
  <c r="I33" i="2" s="1"/>
  <c r="L6" i="3"/>
  <c r="N47" i="3"/>
  <c r="M123" i="3"/>
  <c r="H50" i="2"/>
  <c r="I50" i="2" s="1"/>
  <c r="F49" i="2"/>
  <c r="H49" i="2" s="1"/>
  <c r="I49" i="2" s="1"/>
  <c r="D14" i="2"/>
  <c r="D63" i="2"/>
  <c r="F15" i="2"/>
  <c r="H30" i="2"/>
  <c r="I30" i="2" s="1"/>
  <c r="K6" i="3"/>
  <c r="G14" i="2"/>
  <c r="G63" i="2"/>
  <c r="M7" i="3"/>
  <c r="L158" i="3" l="1"/>
  <c r="E63" i="2"/>
  <c r="M78" i="3"/>
  <c r="M94" i="3"/>
  <c r="N94" i="3" s="1"/>
  <c r="F63" i="2"/>
  <c r="F14" i="2"/>
  <c r="K158" i="3" s="1"/>
  <c r="N7" i="3"/>
  <c r="H158" i="3"/>
  <c r="H15" i="2"/>
  <c r="I15" i="2" s="1"/>
  <c r="H63" i="2" l="1"/>
  <c r="I63" i="2" s="1"/>
  <c r="N78" i="3"/>
  <c r="N6" i="3" s="1"/>
  <c r="M6" i="3"/>
  <c r="H14" i="2"/>
  <c r="J158" i="3" s="1"/>
  <c r="M158" i="3" l="1"/>
  <c r="I14" i="2"/>
  <c r="N158" i="3" s="1"/>
</calcChain>
</file>

<file path=xl/sharedStrings.xml><?xml version="1.0" encoding="utf-8"?>
<sst xmlns="http://schemas.openxmlformats.org/spreadsheetml/2006/main" count="1245" uniqueCount="353">
  <si>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</si>
  <si>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</si>
  <si>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</si>
  <si>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</si>
  <si>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</si>
  <si>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</si>
  <si>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</si>
  <si>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</si>
  <si>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</si>
  <si>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</si>
  <si>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</si>
  <si>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</si>
  <si>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</si>
  <si>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</si>
  <si>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</si>
  <si>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</si>
  <si>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</si>
  <si>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</si>
  <si>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</si>
  <si>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</si>
  <si>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</si>
  <si>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</si>
  <si>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</si>
  <si>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</si>
  <si>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</si>
  <si>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</si>
  <si>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</si>
  <si>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</si>
  <si>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</si>
  <si>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</si>
  <si>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</si>
  <si>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</si>
  <si>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</si>
  <si>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</si>
  <si>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</si>
  <si>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</si>
  <si>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</si>
  <si>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</si>
  <si>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</si>
  <si>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</si>
  <si>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</si>
  <si>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</si>
  <si>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</si>
  <si>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</si>
  <si>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</si>
  <si>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</si>
  <si>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</si>
  <si>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</si>
  <si>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</si>
  <si>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</si>
  <si>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</si>
  <si>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</si>
  <si>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</si>
  <si>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</si>
  <si>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</si>
  <si>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</si>
  <si>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</si>
  <si>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</si>
  <si>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</si>
  <si>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</si>
  <si>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</si>
  <si>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</si>
  <si>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</si>
  <si>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</si>
  <si>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</si>
  <si>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000  106  06010  00  0000  110</t>
  </si>
  <si>
    <t>000  106  06020  00  0000  110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</si>
  <si>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</si>
  <si>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</si>
  <si>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</si>
  <si>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</si>
  <si>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</si>
  <si>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</si>
  <si>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</si>
  <si>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</si>
  <si>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</si>
  <si>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</si>
  <si>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</si>
  <si>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</si>
  <si>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</si>
  <si>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</si>
  <si>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</si>
  <si>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</si>
  <si>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</si>
  <si>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</si>
  <si>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</si>
  <si>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</si>
  <si>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</si>
  <si>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</si>
  <si>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</si>
  <si>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</si>
  <si>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</si>
  <si>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</si>
  <si>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</si>
  <si>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</si>
  <si>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</si>
  <si>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</si>
  <si>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</si>
  <si>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</si>
  <si>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</si>
  <si>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</si>
  <si>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</si>
  <si>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</si>
  <si>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</si>
  <si>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</si>
  <si>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</si>
  <si>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</si>
  <si>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</si>
  <si>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</si>
  <si>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</si>
  <si>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</si>
  <si>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</si>
  <si>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</si>
  <si>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</si>
  <si>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</si>
  <si>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</si>
  <si>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</si>
  <si>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</si>
  <si>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</si>
  <si>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</si>
  <si>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</si>
  <si>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</si>
  <si>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</si>
  <si>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</si>
  <si>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</si>
  <si>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</si>
  <si>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</si>
  <si>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</si>
  <si>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</si>
  <si>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</si>
  <si>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</si>
  <si>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</si>
  <si>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</si>
  <si>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</si>
  <si>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</si>
  <si>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</si>
  <si>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</si>
  <si>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</si>
  <si>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</si>
  <si>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</si>
  <si>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</si>
  <si>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</si>
  <si>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</si>
  <si>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</si>
  <si>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</si>
  <si>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</si>
  <si>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</si>
  <si>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</si>
  <si>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</si>
  <si>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</si>
  <si>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</si>
  <si>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</si>
  <si>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</si>
  <si>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</si>
  <si>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</si>
  <si>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</si>
  <si>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</si>
  <si>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</si>
  <si>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</si>
  <si>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</si>
  <si>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</si>
  <si>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</si>
  <si>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</si>
  <si>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</si>
  <si>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</si>
  <si>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</si>
  <si>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</si>
  <si>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</si>
  <si>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</si>
  <si>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</si>
  <si>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</si>
  <si>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</si>
  <si>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</si>
  <si>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</si>
  <si>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</si>
  <si>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</si>
  <si>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</si>
  <si>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</si>
  <si>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</si>
  <si>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</si>
  <si>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</si>
  <si>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</si>
  <si>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</si>
  <si>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</si>
  <si>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</si>
  <si>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</si>
  <si>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</si>
  <si>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</si>
  <si>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3510200</t>
  </si>
  <si>
    <t>3510300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</si>
  <si>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</si>
  <si>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</si>
  <si>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</si>
  <si>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</si>
  <si>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</si>
  <si>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</si>
  <si>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</si>
  <si>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</si>
  <si>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</si>
  <si>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</si>
  <si>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</si>
  <si>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</si>
  <si>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</si>
  <si>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</si>
  <si>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</si>
  <si>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</si>
  <si>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</si>
  <si>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</si>
  <si>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</si>
  <si>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</si>
  <si>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</si>
  <si>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</si>
  <si>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</si>
  <si>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</si>
  <si>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</si>
  <si>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</si>
  <si>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</si>
  <si>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</si>
  <si>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</si>
  <si>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</si>
  <si>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301  202  02999  10  0000  151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</si>
  <si>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</si>
  <si>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</si>
  <si>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</si>
  <si>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</si>
  <si>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</si>
  <si>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</si>
  <si>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</si>
  <si>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</si>
  <si>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</si>
  <si>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</si>
  <si>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</si>
  <si>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</si>
  <si>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</si>
  <si>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</si>
  <si>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</si>
  <si>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</si>
  <si>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</si>
  <si>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</si>
  <si>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</si>
  <si>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</si>
  <si>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000  106  06023  10  0000  110</t>
  </si>
  <si>
    <t>000  106  06013  10  0000  110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</si>
  <si>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</si>
  <si>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</si>
  <si>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</si>
  <si>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</si>
  <si>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</si>
  <si>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</si>
  <si>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</si>
  <si>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</si>
  <si>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</si>
  <si>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</si>
  <si>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</si>
  <si>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0303</t>
  </si>
  <si>
    <t>0401</t>
  </si>
  <si>
    <t>5100301</t>
  </si>
  <si>
    <t>518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</si>
  <si>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</si>
  <si>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</si>
  <si>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</si>
  <si>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</si>
  <si>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</si>
  <si>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</si>
  <si>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</si>
  <si>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</si>
  <si>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</si>
  <si>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</si>
  <si>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</si>
  <si>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</si>
  <si>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</si>
  <si>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</si>
  <si>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</si>
  <si>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</si>
  <si>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</si>
  <si>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</si>
  <si>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</si>
  <si>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</si>
  <si>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</si>
  <si>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</si>
  <si>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</si>
  <si>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</si>
  <si>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</si>
  <si>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</si>
  <si>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</si>
  <si>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</si>
  <si>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</si>
  <si>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</si>
  <si>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</si>
  <si>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</si>
  <si>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</si>
  <si>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</si>
  <si>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</si>
  <si>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</si>
  <si>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</si>
  <si>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</si>
  <si>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</si>
  <si>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</si>
  <si>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</si>
  <si>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</si>
  <si>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</si>
  <si>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</si>
  <si>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</si>
  <si>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</si>
  <si>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</si>
  <si>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</si>
  <si>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</si>
  <si>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</si>
  <si>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</si>
  <si>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</si>
  <si>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</si>
  <si>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</si>
  <si>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</si>
  <si>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</si>
  <si>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</si>
  <si>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</si>
  <si>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</si>
  <si>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</si>
  <si>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</si>
  <si>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</si>
  <si>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</si>
  <si>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</si>
  <si>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</si>
  <si>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</si>
  <si>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</si>
  <si>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</si>
  <si>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</si>
  <si>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</si>
  <si>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</si>
  <si>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</si>
  <si>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</si>
  <si>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</si>
  <si>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</si>
  <si>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</si>
  <si>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</si>
  <si>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</si>
  <si>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</si>
  <si>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01 января 2014 года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</si>
  <si>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</si>
  <si>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</si>
  <si>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</si>
  <si>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</si>
  <si>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</si>
  <si>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</si>
  <si>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</si>
  <si>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</si>
  <si>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</si>
  <si>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</si>
  <si>
    <t>0113</t>
  </si>
  <si>
    <t>1132100</t>
  </si>
  <si>
    <t>301  208 05000  10  0000  180</t>
  </si>
  <si>
    <t>8115930</t>
  </si>
  <si>
    <t>на 1 августа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</si>
</sst>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</font>
    <font>
      <b/>
      <sz val="11"/>
      <name val="Arial"/>
      <charset val="204"/>
    </font>
    <font>
      <sz val="8"/>
      <name val="Arial"/>
      <charset val="204"/>
    </font>
    <font>
      <sz val="8"/>
      <name val="Arial"/>
    </font>
    <font>
      <b/>
      <sz val="8"/>
      <name val="Arial"/>
      <charset val="204"/>
    </font>
    <font>
      <b/>
      <i/>
      <sz val="9"/>
      <name val="Arial"/>
      <charset val="204"/>
    </font>
    <font>
      <sz val="9"/>
      <name val="Arial"/>
      <charset val="204"/>
    </font>
    <font>
      <sz val="9"/>
      <name val="Arial"/>
    </font>
    <font>
      <sz val="10"/>
      <name val="Arial"/>
      <charset val="204"/>
    </font>
    <font>
      <sz val="11"/>
      <name val="Arial"/>
      <charset val="204"/>
    </font>
    <font>
      <i/>
      <sz val="8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charset val="204"/>
    </font>
    <font>
      <i/>
      <sz val="12"/>
      <name val="Arial Cyr"/>
      <family val="2"/>
      <charset val="204"/>
    </font>
    <font>
      <i/>
      <sz val="10"/>
      <name val="Arial"/>
    </font>
    <font>
      <b/>
      <i/>
      <sz val="8"/>
      <name val="Arial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zoomScale="80" zoomScaleNormal="80" zoomScaleSheetLayoutView="80" workbookViewId="0">
      <pane xSplit="3" ySplit="13" topLeftCell="D59" activePane="bottomRight" state="frozen"/>
      <selection pane="topRight" activeCell="D1" sqref="D1"/>
      <selection pane="bottomLeft" activeCell="A14" sqref="A14"/>
      <selection pane="bottomRight" activeCell="A76" sqref="A76:A77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62" t="s">
        <v>84</v>
      </c>
      <c r="B1" s="262"/>
      <c r="C1" s="262"/>
      <c r="D1" s="262"/>
      <c r="E1" s="262"/>
      <c r="F1" s="262"/>
      <c r="G1" s="262"/>
      <c r="H1" s="262"/>
      <c r="I1" s="19"/>
      <c r="J1" s="19"/>
    </row>
    <row r="2" spans="1:10" s="20" customFormat="1" ht="15" x14ac:dyDescent="0.25">
      <c r="A2" s="262" t="s">
        <v>265</v>
      </c>
      <c r="B2" s="262"/>
      <c r="C2" s="262"/>
      <c r="D2" s="262"/>
      <c r="E2" s="262"/>
      <c r="F2" s="262"/>
      <c r="G2" s="262"/>
      <c r="H2" s="262"/>
      <c r="I2" s="262"/>
      <c r="J2" s="19"/>
    </row>
    <row r="3" spans="1:10" s="20" customFormat="1" ht="15" x14ac:dyDescent="0.25">
      <c r="A3" s="262" t="s">
        <v>137</v>
      </c>
      <c r="B3" s="262"/>
      <c r="C3" s="262"/>
      <c r="D3" s="262"/>
      <c r="E3" s="262"/>
      <c r="F3" s="262"/>
      <c r="G3" s="262"/>
      <c r="H3" s="262"/>
      <c r="I3" s="262"/>
      <c r="J3" s="19"/>
    </row>
    <row r="4" spans="1:10" s="20" customFormat="1" ht="15.75" thickBot="1" x14ac:dyDescent="0.3">
      <c r="A4" s="19"/>
      <c r="B4" s="178"/>
      <c r="C4" s="262" t="s">
        <v>352</v>
      </c>
      <c r="D4" s="262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85</v>
      </c>
      <c r="I5" s="182" t="s">
        <v>1</v>
      </c>
    </row>
    <row r="6" spans="1:10" s="20" customFormat="1" ht="34.5" x14ac:dyDescent="0.25">
      <c r="A6" s="180" t="s">
        <v>142</v>
      </c>
      <c r="B6" s="261" t="s">
        <v>268</v>
      </c>
      <c r="C6" s="261"/>
      <c r="D6" s="261"/>
      <c r="E6" s="261"/>
      <c r="F6" s="261"/>
      <c r="G6" s="261"/>
      <c r="H6" s="261"/>
      <c r="I6" s="183"/>
    </row>
    <row r="7" spans="1:10" s="20" customFormat="1" x14ac:dyDescent="0.2">
      <c r="A7" s="22" t="s">
        <v>267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87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86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60" t="s">
        <v>0</v>
      </c>
      <c r="B10" s="260"/>
      <c r="C10" s="260"/>
    </row>
    <row r="11" spans="1:10" s="6" customFormat="1" ht="14.25" customHeight="1" x14ac:dyDescent="0.2">
      <c r="A11" s="273" t="s">
        <v>4</v>
      </c>
      <c r="B11" s="267" t="s">
        <v>3</v>
      </c>
      <c r="C11" s="275" t="s">
        <v>143</v>
      </c>
      <c r="D11" s="263" t="s">
        <v>260</v>
      </c>
      <c r="E11" s="271" t="s">
        <v>15</v>
      </c>
      <c r="F11" s="272"/>
      <c r="G11" s="272"/>
      <c r="H11" s="269"/>
      <c r="I11" s="269" t="s">
        <v>16</v>
      </c>
    </row>
    <row r="12" spans="1:10" s="6" customFormat="1" ht="75" customHeight="1" x14ac:dyDescent="0.2">
      <c r="A12" s="274"/>
      <c r="B12" s="268"/>
      <c r="C12" s="276"/>
      <c r="D12" s="264"/>
      <c r="E12" s="191" t="s">
        <v>141</v>
      </c>
      <c r="F12" s="191" t="s">
        <v>5</v>
      </c>
      <c r="G12" s="191" t="s">
        <v>17</v>
      </c>
      <c r="H12" s="191" t="s">
        <v>54</v>
      </c>
      <c r="I12" s="270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79</v>
      </c>
      <c r="D14" s="49">
        <f>SUM(D15+D64)</f>
        <v>12267600</v>
      </c>
      <c r="E14" s="49">
        <f>SUM(E15+E64)</f>
        <v>7074648.3200000003</v>
      </c>
      <c r="F14" s="49">
        <f>SUM(F15+F64)</f>
        <v>0</v>
      </c>
      <c r="G14" s="49">
        <f>SUM(G15+G64)</f>
        <v>0</v>
      </c>
      <c r="H14" s="228">
        <f>SUM(E14:G14)</f>
        <v>7074648.3200000003</v>
      </c>
      <c r="I14" s="49">
        <f>SUM(D14-H14)</f>
        <v>5192951.68</v>
      </c>
    </row>
    <row r="15" spans="1:10" s="48" customFormat="1" ht="15.75" x14ac:dyDescent="0.2">
      <c r="A15" s="18" t="s">
        <v>107</v>
      </c>
      <c r="B15" s="46"/>
      <c r="C15" s="12" t="s">
        <v>58</v>
      </c>
      <c r="D15" s="47">
        <f>SUM(D16+D28+D30+D40+D42+D55+D58+D38+D23+D51)</f>
        <v>4622200</v>
      </c>
      <c r="E15" s="47">
        <f>SUM(E16+E28+E30+E40+E42+E51+E49+E55+E58+E38+E60+E23)</f>
        <v>2550573.3200000003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2550573.3200000003</v>
      </c>
      <c r="I15" s="49">
        <f>SUM(D15-H15)</f>
        <v>2071626.6799999997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700000</v>
      </c>
      <c r="E16" s="49">
        <f>SUM(E17)</f>
        <v>435734.01</v>
      </c>
      <c r="F16" s="49">
        <f>SUM(F17)</f>
        <v>0</v>
      </c>
      <c r="G16" s="49">
        <f>SUM(G17)</f>
        <v>0</v>
      </c>
      <c r="H16" s="228">
        <f>SUM(E16:G16)</f>
        <v>435734.01</v>
      </c>
      <c r="I16" s="49">
        <f>SUM(D16-H16)</f>
        <v>264265.99</v>
      </c>
    </row>
    <row r="17" spans="1:9" s="51" customFormat="1" ht="15.75" x14ac:dyDescent="0.2">
      <c r="A17" s="29" t="s">
        <v>109</v>
      </c>
      <c r="B17" s="50"/>
      <c r="C17" s="13" t="s">
        <v>108</v>
      </c>
      <c r="D17" s="44">
        <f>SUM(D18+D19)</f>
        <v>700000</v>
      </c>
      <c r="E17" s="44">
        <f>SUM(E18+E19+E22)</f>
        <v>435734.01</v>
      </c>
      <c r="F17" s="44">
        <f>SUM(F18+F19+F27)</f>
        <v>0</v>
      </c>
      <c r="G17" s="44">
        <f>SUM(G18+G19+G27)</f>
        <v>0</v>
      </c>
      <c r="H17" s="53">
        <f>SUM(E17:G17)</f>
        <v>435734.01</v>
      </c>
      <c r="I17" s="229">
        <f>SUM(D17-H17)</f>
        <v>264265.99</v>
      </c>
    </row>
    <row r="18" spans="1:9" s="51" customFormat="1" ht="24" x14ac:dyDescent="0.2">
      <c r="A18" s="42" t="s">
        <v>238</v>
      </c>
      <c r="B18" s="50"/>
      <c r="C18" s="14" t="s">
        <v>237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112</v>
      </c>
      <c r="B19" s="52"/>
      <c r="C19" s="14" t="s">
        <v>237</v>
      </c>
      <c r="D19" s="53">
        <f>SUM(D20:D21)</f>
        <v>700000</v>
      </c>
      <c r="E19" s="53">
        <f>SUM(E20:E21)</f>
        <v>434592.02</v>
      </c>
      <c r="F19" s="53">
        <f>SUM(F20:F21)</f>
        <v>0</v>
      </c>
      <c r="G19" s="53">
        <f>SUM(G20:G21)</f>
        <v>0</v>
      </c>
      <c r="H19" s="54">
        <f t="shared" ref="H19:H37" si="1">SUM(E19:G19)</f>
        <v>434592.02</v>
      </c>
      <c r="I19" s="229">
        <f t="shared" si="0"/>
        <v>265407.98</v>
      </c>
    </row>
    <row r="20" spans="1:9" s="55" customFormat="1" ht="60" x14ac:dyDescent="0.2">
      <c r="A20" s="42" t="s">
        <v>113</v>
      </c>
      <c r="B20" s="56"/>
      <c r="C20" s="57" t="s">
        <v>237</v>
      </c>
      <c r="D20" s="53">
        <v>700000</v>
      </c>
      <c r="E20" s="53">
        <v>434592.02</v>
      </c>
      <c r="F20" s="53"/>
      <c r="G20" s="53"/>
      <c r="H20" s="53">
        <f t="shared" si="1"/>
        <v>434592.02</v>
      </c>
      <c r="I20" s="229">
        <f t="shared" si="0"/>
        <v>265407.98</v>
      </c>
    </row>
    <row r="21" spans="1:9" s="55" customFormat="1" ht="60" x14ac:dyDescent="0.2">
      <c r="A21" s="42" t="s">
        <v>114</v>
      </c>
      <c r="B21" s="52"/>
      <c r="C21" s="57" t="s">
        <v>315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115</v>
      </c>
      <c r="B22" s="58"/>
      <c r="C22" s="57" t="s">
        <v>321</v>
      </c>
      <c r="D22" s="59"/>
      <c r="E22" s="60">
        <f>707.08+4.41+430.5</f>
        <v>1141.99</v>
      </c>
      <c r="F22" s="59"/>
      <c r="G22" s="59"/>
      <c r="H22" s="53">
        <f t="shared" ref="H22:H24" si="2">SUM(E22:G22)</f>
        <v>1141.99</v>
      </c>
      <c r="I22" s="229">
        <f t="shared" ref="I22:I24" si="3">SUM(D22-H22)</f>
        <v>-1141.99</v>
      </c>
    </row>
    <row r="23" spans="1:9" s="51" customFormat="1" ht="31.5" x14ac:dyDescent="0.2">
      <c r="A23" s="259" t="s">
        <v>338</v>
      </c>
      <c r="B23" s="50"/>
      <c r="C23" s="13" t="s">
        <v>339</v>
      </c>
      <c r="D23" s="44">
        <f>SUM(D24:D27)</f>
        <v>3025700</v>
      </c>
      <c r="E23" s="44">
        <f>SUM(E24:E27)</f>
        <v>1280906.5</v>
      </c>
      <c r="F23" s="44">
        <f>SUM(F24+F25+F33)</f>
        <v>0</v>
      </c>
      <c r="G23" s="44">
        <f>SUM(G24+G25+G33)</f>
        <v>0</v>
      </c>
      <c r="H23" s="53">
        <f>SUM(E23:G23)</f>
        <v>1280906.5</v>
      </c>
      <c r="I23" s="229">
        <f>SUM(D23-H23)</f>
        <v>1744793.5</v>
      </c>
    </row>
    <row r="24" spans="1:9" s="61" customFormat="1" ht="24" x14ac:dyDescent="0.2">
      <c r="A24" s="42" t="s">
        <v>340</v>
      </c>
      <c r="B24" s="58"/>
      <c r="C24" s="57" t="s">
        <v>341</v>
      </c>
      <c r="D24" s="59">
        <v>1107400</v>
      </c>
      <c r="E24" s="60">
        <f>478039.05+20909.42</f>
        <v>498948.47</v>
      </c>
      <c r="F24" s="59"/>
      <c r="G24" s="59"/>
      <c r="H24" s="53">
        <f t="shared" si="2"/>
        <v>498948.47</v>
      </c>
      <c r="I24" s="229">
        <f t="shared" si="3"/>
        <v>608451.53</v>
      </c>
    </row>
    <row r="25" spans="1:9" s="61" customFormat="1" ht="36" x14ac:dyDescent="0.2">
      <c r="A25" s="42" t="s">
        <v>343</v>
      </c>
      <c r="B25" s="58"/>
      <c r="C25" s="57" t="s">
        <v>345</v>
      </c>
      <c r="D25" s="59">
        <v>23000</v>
      </c>
      <c r="E25" s="60">
        <f>9806.71+457.39</f>
        <v>10264.099999999999</v>
      </c>
      <c r="F25" s="59"/>
      <c r="G25" s="59"/>
      <c r="H25" s="53">
        <f t="shared" ref="H25:H26" si="4">SUM(E25:G25)</f>
        <v>10264.099999999999</v>
      </c>
      <c r="I25" s="229">
        <f t="shared" ref="I25:I26" si="5">SUM(D25-H25)</f>
        <v>12735.900000000001</v>
      </c>
    </row>
    <row r="26" spans="1:9" s="61" customFormat="1" ht="24" x14ac:dyDescent="0.2">
      <c r="A26" s="42" t="s">
        <v>342</v>
      </c>
      <c r="B26" s="58"/>
      <c r="C26" s="57" t="s">
        <v>346</v>
      </c>
      <c r="D26" s="59">
        <v>1792900</v>
      </c>
      <c r="E26" s="60">
        <f>768983.59+20668.47</f>
        <v>789652.05999999994</v>
      </c>
      <c r="F26" s="59"/>
      <c r="G26" s="59"/>
      <c r="H26" s="53">
        <f t="shared" si="4"/>
        <v>789652.05999999994</v>
      </c>
      <c r="I26" s="229">
        <f t="shared" si="5"/>
        <v>1003247.9400000001</v>
      </c>
    </row>
    <row r="27" spans="1:9" s="61" customFormat="1" ht="24" x14ac:dyDescent="0.2">
      <c r="A27" s="42" t="s">
        <v>344</v>
      </c>
      <c r="B27" s="58"/>
      <c r="C27" s="57" t="s">
        <v>347</v>
      </c>
      <c r="D27" s="59">
        <v>102400</v>
      </c>
      <c r="E27" s="60">
        <f>-24266.42+6308.29</f>
        <v>-17958.129999999997</v>
      </c>
      <c r="F27" s="59"/>
      <c r="G27" s="59"/>
      <c r="H27" s="53">
        <f t="shared" si="1"/>
        <v>-17958.129999999997</v>
      </c>
      <c r="I27" s="229">
        <f t="shared" si="0"/>
        <v>120358.13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47">
        <f t="shared" si="1"/>
        <v>0</v>
      </c>
      <c r="I28" s="49">
        <f t="shared" si="0"/>
        <v>0</v>
      </c>
    </row>
    <row r="29" spans="1:9" s="61" customFormat="1" ht="15" x14ac:dyDescent="0.2">
      <c r="A29" s="64" t="s">
        <v>7</v>
      </c>
      <c r="B29" s="65"/>
      <c r="C29" s="57" t="s">
        <v>243</v>
      </c>
      <c r="D29" s="53"/>
      <c r="E29" s="53"/>
      <c r="F29" s="53"/>
      <c r="G29" s="53"/>
      <c r="H29" s="53">
        <f t="shared" si="1"/>
        <v>0</v>
      </c>
      <c r="I29" s="229">
        <f t="shared" si="0"/>
        <v>0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430000</v>
      </c>
      <c r="E30" s="49">
        <f>SUM(E31+E33)</f>
        <v>102501.17</v>
      </c>
      <c r="F30" s="49">
        <f>SUM(F31+F33)</f>
        <v>0</v>
      </c>
      <c r="G30" s="49">
        <f>SUM(G31+G33)</f>
        <v>0</v>
      </c>
      <c r="H30" s="49">
        <f t="shared" si="1"/>
        <v>102501.17</v>
      </c>
      <c r="I30" s="49">
        <f>SUM(D30-H30)</f>
        <v>327498.83</v>
      </c>
    </row>
    <row r="31" spans="1:9" s="68" customFormat="1" ht="15.75" x14ac:dyDescent="0.2">
      <c r="A31" s="69" t="s">
        <v>110</v>
      </c>
      <c r="B31" s="70"/>
      <c r="C31" s="71" t="s">
        <v>63</v>
      </c>
      <c r="D31" s="44">
        <f>SUM(D32)</f>
        <v>200000</v>
      </c>
      <c r="E31" s="44">
        <f>SUM(E32)</f>
        <v>85229.95</v>
      </c>
      <c r="F31" s="44">
        <f>SUM(F32)</f>
        <v>0</v>
      </c>
      <c r="G31" s="44">
        <f>SUM(G32)</f>
        <v>0</v>
      </c>
      <c r="H31" s="44">
        <f t="shared" si="1"/>
        <v>85229.95</v>
      </c>
      <c r="I31" s="229">
        <f t="shared" si="0"/>
        <v>114770.05</v>
      </c>
    </row>
    <row r="32" spans="1:9" s="61" customFormat="1" ht="24" x14ac:dyDescent="0.2">
      <c r="A32" s="43" t="s">
        <v>116</v>
      </c>
      <c r="B32" s="65"/>
      <c r="C32" s="57" t="s">
        <v>316</v>
      </c>
      <c r="D32" s="53">
        <v>200000</v>
      </c>
      <c r="E32" s="53">
        <f>77143.33+649+7437.62</f>
        <v>85229.95</v>
      </c>
      <c r="F32" s="53"/>
      <c r="G32" s="53"/>
      <c r="H32" s="53">
        <f t="shared" si="1"/>
        <v>85229.95</v>
      </c>
      <c r="I32" s="229">
        <f t="shared" si="0"/>
        <v>114770.05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230000</v>
      </c>
      <c r="E33" s="44">
        <f>SUM(E34+E36)</f>
        <v>17271.22</v>
      </c>
      <c r="F33" s="44">
        <f>SUM(F34+F36)</f>
        <v>0</v>
      </c>
      <c r="G33" s="44">
        <f>SUM(G34+G36)</f>
        <v>0</v>
      </c>
      <c r="H33" s="44">
        <f>SUM(H34+H36)</f>
        <v>17271.22</v>
      </c>
      <c r="I33" s="229">
        <f t="shared" si="0"/>
        <v>212728.78</v>
      </c>
    </row>
    <row r="34" spans="1:11" s="68" customFormat="1" ht="24" x14ac:dyDescent="0.2">
      <c r="A34" s="43" t="s">
        <v>117</v>
      </c>
      <c r="B34" s="74"/>
      <c r="C34" s="75" t="s">
        <v>65</v>
      </c>
      <c r="D34" s="44">
        <f>SUM(D35)</f>
        <v>80000</v>
      </c>
      <c r="E34" s="44">
        <f>SUM(E35)</f>
        <v>30438.53</v>
      </c>
      <c r="F34" s="44">
        <f>SUM(F35)</f>
        <v>0</v>
      </c>
      <c r="G34" s="44">
        <f>SUM(G35)</f>
        <v>0</v>
      </c>
      <c r="H34" s="44">
        <f t="shared" si="1"/>
        <v>30438.53</v>
      </c>
      <c r="I34" s="229">
        <f t="shared" si="0"/>
        <v>49561.47</v>
      </c>
    </row>
    <row r="35" spans="1:11" s="61" customFormat="1" ht="36" x14ac:dyDescent="0.2">
      <c r="A35" s="43" t="s">
        <v>118</v>
      </c>
      <c r="B35" s="65"/>
      <c r="C35" s="57" t="s">
        <v>242</v>
      </c>
      <c r="D35" s="53">
        <v>80000</v>
      </c>
      <c r="E35" s="53">
        <f>28724.67+990+723.86</f>
        <v>30438.53</v>
      </c>
      <c r="F35" s="53"/>
      <c r="G35" s="53"/>
      <c r="H35" s="53">
        <f t="shared" si="1"/>
        <v>30438.53</v>
      </c>
      <c r="I35" s="229">
        <f t="shared" si="0"/>
        <v>49561.47</v>
      </c>
    </row>
    <row r="36" spans="1:11" s="68" customFormat="1" ht="32.25" customHeight="1" x14ac:dyDescent="0.2">
      <c r="A36" s="43" t="s">
        <v>119</v>
      </c>
      <c r="B36" s="4"/>
      <c r="C36" s="75" t="s">
        <v>66</v>
      </c>
      <c r="D36" s="44">
        <f>SUM(D37)</f>
        <v>150000</v>
      </c>
      <c r="E36" s="44">
        <f>SUM(E37)</f>
        <v>-13167.31</v>
      </c>
      <c r="F36" s="44">
        <f>SUM(F37)</f>
        <v>0</v>
      </c>
      <c r="G36" s="44">
        <f>SUM(G37)</f>
        <v>0</v>
      </c>
      <c r="H36" s="44">
        <f t="shared" si="1"/>
        <v>-13167.31</v>
      </c>
      <c r="I36" s="229">
        <f t="shared" si="0"/>
        <v>163167.31</v>
      </c>
    </row>
    <row r="37" spans="1:11" s="61" customFormat="1" ht="36" x14ac:dyDescent="0.2">
      <c r="A37" s="43" t="s">
        <v>120</v>
      </c>
      <c r="B37" s="76"/>
      <c r="C37" s="57" t="s">
        <v>241</v>
      </c>
      <c r="D37" s="77">
        <v>150000</v>
      </c>
      <c r="E37" s="78">
        <f>-13434.64+167.13+0.2+100</f>
        <v>-13167.31</v>
      </c>
      <c r="F37" s="78"/>
      <c r="G37" s="78"/>
      <c r="H37" s="78">
        <f t="shared" si="1"/>
        <v>-13167.31</v>
      </c>
      <c r="I37" s="229">
        <f t="shared" si="0"/>
        <v>163167.31</v>
      </c>
      <c r="J37" s="79"/>
      <c r="K37" s="79"/>
    </row>
    <row r="38" spans="1:11" s="177" customFormat="1" ht="15.75" x14ac:dyDescent="0.25">
      <c r="A38" s="216" t="s">
        <v>218</v>
      </c>
      <c r="B38" s="175"/>
      <c r="C38" s="154" t="s">
        <v>136</v>
      </c>
      <c r="D38" s="176">
        <f>SUM(D39)</f>
        <v>26500</v>
      </c>
      <c r="E38" s="176">
        <f>SUM(E39)</f>
        <v>15160</v>
      </c>
      <c r="F38" s="176">
        <f>SUM(F39)</f>
        <v>0</v>
      </c>
      <c r="G38" s="176">
        <f>SUM(G39)</f>
        <v>0</v>
      </c>
      <c r="H38" s="176">
        <f>SUM(H39)</f>
        <v>15160</v>
      </c>
      <c r="I38" s="49">
        <f>SUM(D38-H38)</f>
        <v>11340</v>
      </c>
    </row>
    <row r="39" spans="1:11" s="61" customFormat="1" ht="38.25" customHeight="1" x14ac:dyDescent="0.2">
      <c r="A39" s="215" t="s">
        <v>217</v>
      </c>
      <c r="B39" s="172"/>
      <c r="C39" s="57" t="s">
        <v>240</v>
      </c>
      <c r="D39" s="173">
        <v>26500</v>
      </c>
      <c r="E39" s="173">
        <v>15160</v>
      </c>
      <c r="F39" s="174"/>
      <c r="G39" s="174"/>
      <c r="H39" s="78">
        <f>SUM(E39)</f>
        <v>15160</v>
      </c>
      <c r="I39" s="229">
        <f t="shared" si="0"/>
        <v>11340</v>
      </c>
      <c r="J39" s="79"/>
      <c r="K39" s="79"/>
    </row>
    <row r="40" spans="1:11" s="61" customFormat="1" ht="24" x14ac:dyDescent="0.25">
      <c r="A40" s="152" t="s">
        <v>132</v>
      </c>
      <c r="B40" s="153"/>
      <c r="C40" s="154" t="s">
        <v>130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133</v>
      </c>
      <c r="B41" s="76"/>
      <c r="C41" s="30" t="s">
        <v>131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67</v>
      </c>
      <c r="D42" s="35">
        <f>SUM(D43+D46)</f>
        <v>390000</v>
      </c>
      <c r="E42" s="35">
        <f>SUM(E43+E46)</f>
        <v>445181.15</v>
      </c>
      <c r="F42" s="35">
        <f>SUM(F43+F46)</f>
        <v>0</v>
      </c>
      <c r="G42" s="35">
        <f>SUM(G43+G46)</f>
        <v>0</v>
      </c>
      <c r="H42" s="156">
        <f>SUM(E42:G42)</f>
        <v>445181.15</v>
      </c>
      <c r="I42" s="49">
        <f>SUM(D42-H42)</f>
        <v>-55181.150000000023</v>
      </c>
    </row>
    <row r="43" spans="1:11" s="45" customFormat="1" ht="48" x14ac:dyDescent="0.2">
      <c r="A43" s="42" t="s">
        <v>121</v>
      </c>
      <c r="B43" s="81"/>
      <c r="C43" s="13" t="s">
        <v>68</v>
      </c>
      <c r="D43" s="36">
        <f>SUM(D44:D45)</f>
        <v>390000</v>
      </c>
      <c r="E43" s="36">
        <f>SUM(E44:E45)</f>
        <v>445181.15</v>
      </c>
      <c r="F43" s="36">
        <f>SUM(F44:F45)</f>
        <v>0</v>
      </c>
      <c r="G43" s="36">
        <f>SUM(G44:G45)</f>
        <v>0</v>
      </c>
      <c r="H43" s="54">
        <f>SUM(E43:G43)</f>
        <v>445181.15</v>
      </c>
      <c r="I43" s="229">
        <f t="shared" si="0"/>
        <v>-55181.150000000023</v>
      </c>
    </row>
    <row r="44" spans="1:11" s="68" customFormat="1" ht="48" x14ac:dyDescent="0.2">
      <c r="A44" s="42" t="s">
        <v>122</v>
      </c>
      <c r="B44" s="82"/>
      <c r="C44" s="83" t="s">
        <v>299</v>
      </c>
      <c r="D44" s="73">
        <v>390000</v>
      </c>
      <c r="E44" s="84">
        <f>442131.15+3050</f>
        <v>445181.15</v>
      </c>
      <c r="F44" s="85"/>
      <c r="G44" s="85"/>
      <c r="H44" s="73">
        <f t="shared" ref="H44:H62" si="6">SUM(E44:G44)</f>
        <v>445181.15</v>
      </c>
      <c r="I44" s="229">
        <f t="shared" si="0"/>
        <v>-55181.150000000023</v>
      </c>
    </row>
    <row r="45" spans="1:11" s="68" customFormat="1" ht="36" x14ac:dyDescent="0.2">
      <c r="A45" s="42" t="s">
        <v>123</v>
      </c>
      <c r="B45" s="4"/>
      <c r="C45" s="86" t="s">
        <v>239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124</v>
      </c>
      <c r="B46" s="82"/>
      <c r="C46" s="71" t="s">
        <v>69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125</v>
      </c>
      <c r="B47" s="4"/>
      <c r="C47" s="75" t="s">
        <v>70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126</v>
      </c>
      <c r="B48" s="87"/>
      <c r="C48" s="88" t="s">
        <v>71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291</v>
      </c>
      <c r="B49" s="92"/>
      <c r="C49" s="93" t="s">
        <v>288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290</v>
      </c>
      <c r="B50" s="4"/>
      <c r="C50" s="71" t="s">
        <v>289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248</v>
      </c>
      <c r="B51" s="92"/>
      <c r="C51" s="93" t="s">
        <v>249</v>
      </c>
      <c r="D51" s="94">
        <f>SUM(D52)</f>
        <v>50000</v>
      </c>
      <c r="E51" s="44">
        <f>SUM(E53:E54)</f>
        <v>271417.49</v>
      </c>
      <c r="F51" s="94">
        <f t="shared" si="9"/>
        <v>0</v>
      </c>
      <c r="G51" s="94">
        <f t="shared" si="9"/>
        <v>0</v>
      </c>
      <c r="H51" s="95">
        <f t="shared" si="8"/>
        <v>271417.49</v>
      </c>
      <c r="I51" s="49">
        <f>SUM(D51-H51)</f>
        <v>-221417.49</v>
      </c>
    </row>
    <row r="52" spans="1:9" s="68" customFormat="1" ht="48" x14ac:dyDescent="0.2">
      <c r="A52" s="42" t="s">
        <v>252</v>
      </c>
      <c r="B52" s="4"/>
      <c r="C52" s="71" t="s">
        <v>250</v>
      </c>
      <c r="D52" s="44">
        <f>SUM(D53+D54)</f>
        <v>50000</v>
      </c>
      <c r="E52" s="44"/>
      <c r="F52" s="44">
        <f t="shared" si="9"/>
        <v>0</v>
      </c>
      <c r="G52" s="44">
        <f t="shared" si="9"/>
        <v>0</v>
      </c>
      <c r="H52" s="84">
        <f t="shared" si="8"/>
        <v>0</v>
      </c>
      <c r="I52" s="229">
        <f t="shared" si="0"/>
        <v>50000</v>
      </c>
    </row>
    <row r="53" spans="1:9" s="68" customFormat="1" ht="48" x14ac:dyDescent="0.2">
      <c r="A53" s="42" t="s">
        <v>251</v>
      </c>
      <c r="B53" s="96"/>
      <c r="C53" s="57" t="s">
        <v>330</v>
      </c>
      <c r="D53" s="73">
        <v>50000</v>
      </c>
      <c r="E53" s="73">
        <v>52500</v>
      </c>
      <c r="F53" s="85"/>
      <c r="G53" s="85"/>
      <c r="H53" s="73">
        <f t="shared" si="8"/>
        <v>52500</v>
      </c>
      <c r="I53" s="229">
        <f>SUM(D53-H53)</f>
        <v>-2500</v>
      </c>
    </row>
    <row r="54" spans="1:9" s="68" customFormat="1" ht="29.25" customHeight="1" x14ac:dyDescent="0.2">
      <c r="A54" s="258" t="s">
        <v>334</v>
      </c>
      <c r="B54" s="96"/>
      <c r="C54" s="57" t="s">
        <v>335</v>
      </c>
      <c r="D54" s="73"/>
      <c r="E54" s="73">
        <v>218917.49</v>
      </c>
      <c r="F54" s="85"/>
      <c r="G54" s="85"/>
      <c r="H54" s="73">
        <f t="shared" si="8"/>
        <v>218917.49</v>
      </c>
      <c r="I54" s="229">
        <f>SUM(D54-H54)</f>
        <v>-218917.49</v>
      </c>
    </row>
    <row r="55" spans="1:9" s="68" customFormat="1" ht="15.75" x14ac:dyDescent="0.2">
      <c r="A55" s="91" t="s">
        <v>11</v>
      </c>
      <c r="B55" s="92"/>
      <c r="C55" s="93" t="s">
        <v>72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127</v>
      </c>
      <c r="B56" s="4"/>
      <c r="C56" s="71" t="s">
        <v>73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128</v>
      </c>
      <c r="B57" s="96"/>
      <c r="C57" s="57" t="s">
        <v>74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329</v>
      </c>
      <c r="B58" s="98"/>
      <c r="C58" s="12" t="s">
        <v>328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326</v>
      </c>
      <c r="B59" s="4"/>
      <c r="C59" s="83" t="s">
        <v>327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76</v>
      </c>
      <c r="B60" s="98"/>
      <c r="C60" s="12" t="s">
        <v>75</v>
      </c>
      <c r="D60" s="95">
        <f>SUM(D61:D62)</f>
        <v>0</v>
      </c>
      <c r="E60" s="95">
        <f>SUM(E61:E62)</f>
        <v>-327</v>
      </c>
      <c r="F60" s="95">
        <f>SUM(F61:F62)</f>
        <v>0</v>
      </c>
      <c r="G60" s="95">
        <f>SUM(G61:G62)</f>
        <v>0</v>
      </c>
      <c r="H60" s="95">
        <f t="shared" si="6"/>
        <v>-327</v>
      </c>
      <c r="I60" s="49">
        <f>SUM(D60-H60)</f>
        <v>327</v>
      </c>
    </row>
    <row r="61" spans="1:9" s="68" customFormat="1" ht="15" x14ac:dyDescent="0.2">
      <c r="A61" s="221" t="s">
        <v>219</v>
      </c>
      <c r="B61" s="4"/>
      <c r="C61" s="83" t="s">
        <v>135</v>
      </c>
      <c r="D61" s="85"/>
      <c r="E61" s="85">
        <v>-327</v>
      </c>
      <c r="F61" s="85"/>
      <c r="G61" s="73"/>
      <c r="H61" s="73">
        <f t="shared" si="6"/>
        <v>-327</v>
      </c>
      <c r="I61" s="229">
        <f>SUM(D61-H61)</f>
        <v>327</v>
      </c>
    </row>
    <row r="62" spans="1:9" s="68" customFormat="1" ht="15" x14ac:dyDescent="0.2">
      <c r="A62" s="99" t="s">
        <v>111</v>
      </c>
      <c r="B62" s="58"/>
      <c r="C62" s="57" t="s">
        <v>77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5" t="s">
        <v>78</v>
      </c>
      <c r="B63" s="266"/>
      <c r="C63" s="101"/>
      <c r="D63" s="95">
        <f>SUM(D15)</f>
        <v>4622200</v>
      </c>
      <c r="E63" s="95">
        <f>SUM(E15)</f>
        <v>2550573.3200000003</v>
      </c>
      <c r="F63" s="95">
        <f>SUM(F15)</f>
        <v>0</v>
      </c>
      <c r="G63" s="95">
        <f>SUM(G15)</f>
        <v>0</v>
      </c>
      <c r="H63" s="95">
        <f>SUM(E63:G63)</f>
        <v>2550573.3200000003</v>
      </c>
      <c r="I63" s="49">
        <f t="shared" ref="I63:I66" si="11">SUM(D63-H63)</f>
        <v>2071626.6799999997</v>
      </c>
    </row>
    <row r="64" spans="1:9" s="68" customFormat="1" ht="18" x14ac:dyDescent="0.2">
      <c r="A64" s="160" t="s">
        <v>12</v>
      </c>
      <c r="B64" s="100"/>
      <c r="C64" s="93" t="s">
        <v>294</v>
      </c>
      <c r="D64" s="95">
        <f>SUM(D65:D72)</f>
        <v>7645400</v>
      </c>
      <c r="E64" s="95">
        <f>SUM(E65:E74)</f>
        <v>4524075</v>
      </c>
      <c r="F64" s="95">
        <f>SUM(F65:F72)</f>
        <v>0</v>
      </c>
      <c r="G64" s="95">
        <f>SUM(G65:G72)</f>
        <v>0</v>
      </c>
      <c r="H64" s="95">
        <f>SUM(H65:H72)</f>
        <v>4524075</v>
      </c>
      <c r="I64" s="49">
        <f t="shared" si="11"/>
        <v>3121325</v>
      </c>
    </row>
    <row r="65" spans="1:9" s="68" customFormat="1" ht="21.75" customHeight="1" x14ac:dyDescent="0.2">
      <c r="A65" s="225" t="s">
        <v>259</v>
      </c>
      <c r="B65" s="70"/>
      <c r="C65" s="102" t="s">
        <v>140</v>
      </c>
      <c r="D65" s="73">
        <v>7354200</v>
      </c>
      <c r="E65" s="73">
        <v>4289775</v>
      </c>
      <c r="F65" s="73"/>
      <c r="G65" s="73"/>
      <c r="H65" s="73">
        <f>SUM(E65:G65)</f>
        <v>4289775</v>
      </c>
      <c r="I65" s="229">
        <f t="shared" si="11"/>
        <v>3064425</v>
      </c>
    </row>
    <row r="66" spans="1:9" s="68" customFormat="1" ht="21.75" customHeight="1" x14ac:dyDescent="0.2">
      <c r="A66" s="225" t="s">
        <v>295</v>
      </c>
      <c r="B66" s="70"/>
      <c r="C66" s="102" t="s">
        <v>293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322</v>
      </c>
      <c r="B67" s="70"/>
      <c r="C67" s="102" t="s">
        <v>323</v>
      </c>
      <c r="D67" s="73"/>
      <c r="F67" s="73"/>
      <c r="G67" s="73"/>
      <c r="H67" s="73">
        <f>SUM(D67-E68)</f>
        <v>0</v>
      </c>
      <c r="I67" s="229"/>
    </row>
    <row r="68" spans="1:9" s="68" customFormat="1" ht="19.5" customHeight="1" x14ac:dyDescent="0.2">
      <c r="A68" s="226" t="s">
        <v>244</v>
      </c>
      <c r="B68" s="70"/>
      <c r="C68" s="103" t="s">
        <v>220</v>
      </c>
      <c r="D68" s="73"/>
      <c r="E68" s="73"/>
      <c r="F68" s="73"/>
      <c r="G68" s="73"/>
      <c r="H68" s="73">
        <f>SUM(E68:G68)</f>
        <v>0</v>
      </c>
      <c r="I68" s="229">
        <f t="shared" ref="I68:I74" si="13">SUM(D68-H68)</f>
        <v>0</v>
      </c>
    </row>
    <row r="69" spans="1:9" s="68" customFormat="1" ht="24" x14ac:dyDescent="0.2">
      <c r="A69" s="42" t="s">
        <v>129</v>
      </c>
      <c r="B69" s="70"/>
      <c r="C69" s="102" t="s">
        <v>221</v>
      </c>
      <c r="D69" s="73">
        <v>6800</v>
      </c>
      <c r="E69" s="73">
        <v>6800</v>
      </c>
      <c r="F69" s="73"/>
      <c r="G69" s="73"/>
      <c r="H69" s="73">
        <f t="shared" si="12"/>
        <v>6800</v>
      </c>
      <c r="I69" s="229">
        <f t="shared" si="13"/>
        <v>0</v>
      </c>
    </row>
    <row r="70" spans="1:9" s="68" customFormat="1" ht="24" x14ac:dyDescent="0.2">
      <c r="A70" s="42" t="s">
        <v>13</v>
      </c>
      <c r="B70" s="4"/>
      <c r="C70" s="104" t="s">
        <v>222</v>
      </c>
      <c r="D70" s="73">
        <v>227800</v>
      </c>
      <c r="E70" s="73">
        <v>170900</v>
      </c>
      <c r="F70" s="73"/>
      <c r="G70" s="73"/>
      <c r="H70" s="73">
        <f t="shared" si="12"/>
        <v>170900</v>
      </c>
      <c r="I70" s="229">
        <f t="shared" si="13"/>
        <v>56900</v>
      </c>
    </row>
    <row r="71" spans="1:9" s="68" customFormat="1" ht="15" x14ac:dyDescent="0.2">
      <c r="A71" s="42" t="s">
        <v>273</v>
      </c>
      <c r="B71" s="4"/>
      <c r="C71" s="104" t="s">
        <v>274</v>
      </c>
      <c r="D71" s="73">
        <v>56600</v>
      </c>
      <c r="E71" s="73">
        <v>56600</v>
      </c>
      <c r="F71" s="73"/>
      <c r="G71" s="73"/>
      <c r="H71" s="73">
        <f t="shared" si="12"/>
        <v>56600</v>
      </c>
      <c r="I71" s="229">
        <f t="shared" si="13"/>
        <v>0</v>
      </c>
    </row>
    <row r="72" spans="1:9" s="68" customFormat="1" ht="24" x14ac:dyDescent="0.2">
      <c r="A72" s="42" t="s">
        <v>278</v>
      </c>
      <c r="B72" s="4"/>
      <c r="C72" s="104" t="s">
        <v>279</v>
      </c>
      <c r="D72" s="73"/>
      <c r="E72" s="73"/>
      <c r="F72" s="73"/>
      <c r="G72" s="73"/>
      <c r="H72" s="73">
        <f t="shared" si="12"/>
        <v>0</v>
      </c>
      <c r="I72" s="229">
        <f t="shared" si="13"/>
        <v>0</v>
      </c>
    </row>
    <row r="73" spans="1:9" s="68" customFormat="1" ht="15" x14ac:dyDescent="0.2">
      <c r="A73" s="42"/>
      <c r="B73" s="4"/>
      <c r="C73" s="104" t="s">
        <v>350</v>
      </c>
      <c r="D73" s="73"/>
      <c r="E73" s="73"/>
      <c r="F73" s="73"/>
      <c r="G73" s="73"/>
      <c r="H73" s="73">
        <f t="shared" ref="H73" si="14">SUM(E73:G73)</f>
        <v>0</v>
      </c>
      <c r="I73" s="229">
        <f t="shared" ref="I73" si="15">SUM(D73-H73)</f>
        <v>0</v>
      </c>
    </row>
    <row r="74" spans="1:9" s="68" customFormat="1" ht="24" x14ac:dyDescent="0.2">
      <c r="A74" s="42" t="s">
        <v>286</v>
      </c>
      <c r="B74" s="4"/>
      <c r="C74" s="104" t="s">
        <v>287</v>
      </c>
      <c r="D74" s="73"/>
      <c r="E74" s="73"/>
      <c r="F74" s="73"/>
      <c r="G74" s="73"/>
      <c r="H74" s="73">
        <f>SUM(E74:G74)</f>
        <v>0</v>
      </c>
      <c r="I74" s="229">
        <f t="shared" si="13"/>
        <v>0</v>
      </c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  <row r="76" spans="1:9" s="68" customFormat="1" ht="15" x14ac:dyDescent="0.2">
      <c r="A76" s="250"/>
      <c r="B76" s="251"/>
      <c r="C76" s="252"/>
      <c r="D76" s="253"/>
      <c r="E76" s="253"/>
      <c r="F76" s="253"/>
      <c r="G76" s="253"/>
      <c r="H76" s="253"/>
      <c r="I76" s="254"/>
    </row>
  </sheetData>
  <mergeCells count="13">
    <mergeCell ref="D11:D12"/>
    <mergeCell ref="A63:B63"/>
    <mergeCell ref="B11:B12"/>
    <mergeCell ref="I11:I12"/>
    <mergeCell ref="E11:H11"/>
    <mergeCell ref="A11:A12"/>
    <mergeCell ref="C11:C12"/>
    <mergeCell ref="A10:C10"/>
    <mergeCell ref="B6:H6"/>
    <mergeCell ref="A1:H1"/>
    <mergeCell ref="A2:I2"/>
    <mergeCell ref="A3:I3"/>
    <mergeCell ref="C4:D4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view="pageBreakPreview" zoomScale="80" zoomScaleNormal="80" zoomScaleSheetLayoutView="80" workbookViewId="0">
      <pane xSplit="7" ySplit="5" topLeftCell="H129" activePane="bottomRight" state="frozen"/>
      <selection pane="topRight" activeCell="D1" sqref="D1"/>
      <selection pane="bottomLeft" activeCell="A7" sqref="A7"/>
      <selection pane="bottomRight" activeCell="C166" sqref="C166:C167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14.710937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144</v>
      </c>
      <c r="C3" s="279"/>
      <c r="D3" s="279"/>
      <c r="E3" s="279"/>
      <c r="F3" s="279"/>
      <c r="G3" s="280"/>
      <c r="H3" s="281" t="s">
        <v>260</v>
      </c>
      <c r="I3" s="281" t="s">
        <v>261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158</v>
      </c>
      <c r="D4" s="203" t="s">
        <v>157</v>
      </c>
      <c r="E4" s="203" t="s">
        <v>156</v>
      </c>
      <c r="F4" s="203" t="s">
        <v>155</v>
      </c>
      <c r="G4" s="203" t="s">
        <v>154</v>
      </c>
      <c r="H4" s="281"/>
      <c r="I4" s="281"/>
      <c r="J4" s="193" t="s">
        <v>141</v>
      </c>
      <c r="K4" s="192" t="s">
        <v>5</v>
      </c>
      <c r="L4" s="192" t="s">
        <v>17</v>
      </c>
      <c r="M4" s="192" t="s">
        <v>54</v>
      </c>
      <c r="N4" s="218" t="s">
        <v>262</v>
      </c>
      <c r="O4" s="219" t="s">
        <v>263</v>
      </c>
    </row>
    <row r="5" spans="1:15" s="109" customFormat="1" ht="18" customHeight="1" x14ac:dyDescent="0.2">
      <c r="A5" s="107">
        <v>1</v>
      </c>
      <c r="B5" s="128">
        <v>2</v>
      </c>
      <c r="C5" s="128" t="s">
        <v>211</v>
      </c>
      <c r="D5" s="128" t="s">
        <v>90</v>
      </c>
      <c r="E5" s="128" t="s">
        <v>91</v>
      </c>
      <c r="F5" s="128" t="s">
        <v>92</v>
      </c>
      <c r="G5" s="128" t="s">
        <v>93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145</v>
      </c>
      <c r="B6" s="122">
        <v>200</v>
      </c>
      <c r="C6" s="122"/>
      <c r="D6" s="122"/>
      <c r="E6" s="122"/>
      <c r="F6" s="122"/>
      <c r="G6" s="122"/>
      <c r="H6" s="49">
        <f>SUM(H7+H38+H47+H66+H78+H119+H123+H152+H147+H156)</f>
        <v>13550600</v>
      </c>
      <c r="I6" s="231" t="s">
        <v>264</v>
      </c>
      <c r="J6" s="49">
        <f>SUM(J7+J38+J47+J66+J78+J119+J123+J152+J147+J156)</f>
        <v>6194146.6100000003</v>
      </c>
      <c r="K6" s="49">
        <f>SUM(K7+K38+K47+K66+K78+K119+K123+K152+K147)</f>
        <v>0</v>
      </c>
      <c r="L6" s="49">
        <f>SUM(L7+L38+L47+L66+L78+L119+L123+L152+L147)</f>
        <v>0</v>
      </c>
      <c r="M6" s="49">
        <f>SUM(M7+M38+M47+M66+M78+M119+M123+M152+M147)</f>
        <v>6194146.6100000003</v>
      </c>
      <c r="N6" s="49">
        <f>SUM(N7+N38+N47+N66+N78+N119+N123+N152+N147)</f>
        <v>4330853.3899999997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148</v>
      </c>
      <c r="D7" s="122" t="s">
        <v>149</v>
      </c>
      <c r="E7" s="122" t="s">
        <v>149</v>
      </c>
      <c r="F7" s="122" t="s">
        <v>147</v>
      </c>
      <c r="G7" s="122" t="s">
        <v>147</v>
      </c>
      <c r="H7" s="49">
        <f>SUM(H8+H11+H14+H32+H34+H52+H36)</f>
        <v>5112400</v>
      </c>
      <c r="I7" s="231" t="s">
        <v>264</v>
      </c>
      <c r="J7" s="49">
        <f>SUM(J8+J11+J14+J32+J34+J52+J36)</f>
        <v>3230385.73</v>
      </c>
      <c r="K7" s="49">
        <f>SUM(K8+K11+K14+K32+K52)</f>
        <v>0</v>
      </c>
      <c r="L7" s="49">
        <f>SUM(L8+L11+L14+L32+L52)</f>
        <v>0</v>
      </c>
      <c r="M7" s="95">
        <f t="shared" ref="M7:M42" si="0">SUM(J7:L7)</f>
        <v>3230385.73</v>
      </c>
      <c r="N7" s="95">
        <f t="shared" ref="N7:N42" si="1">SUM(H7-M7)</f>
        <v>1882014.27</v>
      </c>
      <c r="O7" s="95"/>
    </row>
    <row r="8" spans="1:15" s="68" customFormat="1" ht="33" customHeight="1" x14ac:dyDescent="0.2">
      <c r="A8" s="111" t="s">
        <v>139</v>
      </c>
      <c r="B8" s="195"/>
      <c r="C8" s="195" t="s">
        <v>147</v>
      </c>
      <c r="D8" s="195" t="s">
        <v>150</v>
      </c>
      <c r="E8" s="195" t="s">
        <v>149</v>
      </c>
      <c r="F8" s="195" t="s">
        <v>147</v>
      </c>
      <c r="G8" s="195" t="s">
        <v>147</v>
      </c>
      <c r="H8" s="44">
        <f>SUM(H9:H10)</f>
        <v>0</v>
      </c>
      <c r="I8" s="232" t="s">
        <v>264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253</v>
      </c>
      <c r="D9" s="128" t="s">
        <v>150</v>
      </c>
      <c r="E9" s="128" t="s">
        <v>151</v>
      </c>
      <c r="F9" s="128" t="s">
        <v>81</v>
      </c>
      <c r="G9" s="128" t="s">
        <v>152</v>
      </c>
      <c r="H9" s="158"/>
      <c r="I9" s="233" t="s">
        <v>264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253</v>
      </c>
      <c r="D10" s="128" t="s">
        <v>150</v>
      </c>
      <c r="E10" s="128" t="s">
        <v>151</v>
      </c>
      <c r="F10" s="128" t="s">
        <v>81</v>
      </c>
      <c r="G10" s="128" t="s">
        <v>153</v>
      </c>
      <c r="H10" s="158"/>
      <c r="I10" s="233" t="s">
        <v>264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80</v>
      </c>
      <c r="B11" s="114"/>
      <c r="C11" s="195" t="s">
        <v>147</v>
      </c>
      <c r="D11" s="195" t="s">
        <v>159</v>
      </c>
      <c r="E11" s="195" t="s">
        <v>149</v>
      </c>
      <c r="F11" s="195" t="s">
        <v>147</v>
      </c>
      <c r="G11" s="195" t="s">
        <v>147</v>
      </c>
      <c r="H11" s="115">
        <f>SUM(H12:H13)</f>
        <v>0</v>
      </c>
      <c r="I11" s="234" t="s">
        <v>264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253</v>
      </c>
      <c r="D12" s="128" t="s">
        <v>159</v>
      </c>
      <c r="E12" s="128" t="s">
        <v>161</v>
      </c>
      <c r="F12" s="128" t="s">
        <v>81</v>
      </c>
      <c r="G12" s="128" t="s">
        <v>152</v>
      </c>
      <c r="H12" s="116"/>
      <c r="I12" s="235" t="s">
        <v>264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82</v>
      </c>
      <c r="B13" s="196"/>
      <c r="C13" s="128" t="s">
        <v>253</v>
      </c>
      <c r="D13" s="128" t="s">
        <v>159</v>
      </c>
      <c r="E13" s="128" t="s">
        <v>161</v>
      </c>
      <c r="F13" s="128" t="s">
        <v>81</v>
      </c>
      <c r="G13" s="128" t="s">
        <v>153</v>
      </c>
      <c r="H13" s="164"/>
      <c r="I13" s="236" t="s">
        <v>264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147</v>
      </c>
      <c r="D14" s="195" t="s">
        <v>160</v>
      </c>
      <c r="E14" s="195" t="s">
        <v>149</v>
      </c>
      <c r="F14" s="195" t="s">
        <v>147</v>
      </c>
      <c r="G14" s="195" t="s">
        <v>147</v>
      </c>
      <c r="H14" s="44">
        <f>SUM(H15:H31)</f>
        <v>5012600</v>
      </c>
      <c r="I14" s="232" t="s">
        <v>264</v>
      </c>
      <c r="J14" s="44">
        <f>SUM(J15:J31)</f>
        <v>3208885.73</v>
      </c>
      <c r="K14" s="44">
        <f>SUM(K15:K31)</f>
        <v>0</v>
      </c>
      <c r="L14" s="44">
        <f>SUM(L15:L31)</f>
        <v>0</v>
      </c>
      <c r="M14" s="84">
        <f t="shared" si="0"/>
        <v>3208885.73</v>
      </c>
      <c r="N14" s="84">
        <f t="shared" si="1"/>
        <v>1803714.27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253</v>
      </c>
      <c r="D15" s="128" t="s">
        <v>160</v>
      </c>
      <c r="E15" s="128" t="s">
        <v>162</v>
      </c>
      <c r="F15" s="128" t="s">
        <v>300</v>
      </c>
      <c r="G15" s="128" t="s">
        <v>152</v>
      </c>
      <c r="H15" s="158">
        <f>1877400+75000+70800</f>
        <v>2023200</v>
      </c>
      <c r="I15" s="233" t="s">
        <v>264</v>
      </c>
      <c r="J15" s="246">
        <f>379090.7+4824.7+49683.76+37100+2600+33800+103076.79+37100+58200+2600+20739+9594.7+37100+24600+34039.7+45332.55+37100+25500+139565.98</f>
        <v>1081647.8800000001</v>
      </c>
      <c r="K15" s="73"/>
      <c r="L15" s="73"/>
      <c r="M15" s="73">
        <f t="shared" si="0"/>
        <v>1081647.8800000001</v>
      </c>
      <c r="N15" s="73">
        <f t="shared" si="1"/>
        <v>941552.11999999988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253</v>
      </c>
      <c r="D16" s="128" t="s">
        <v>160</v>
      </c>
      <c r="E16" s="128" t="s">
        <v>162</v>
      </c>
      <c r="F16" s="128" t="s">
        <v>331</v>
      </c>
      <c r="G16" s="128" t="s">
        <v>163</v>
      </c>
      <c r="H16" s="158">
        <v>600</v>
      </c>
      <c r="I16" s="233" t="s">
        <v>264</v>
      </c>
      <c r="J16" s="246">
        <f>100+50+50+50+50</f>
        <v>300</v>
      </c>
      <c r="K16" s="73"/>
      <c r="L16" s="73"/>
      <c r="M16" s="73">
        <f t="shared" si="0"/>
        <v>300</v>
      </c>
      <c r="N16" s="73">
        <f t="shared" si="1"/>
        <v>300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253</v>
      </c>
      <c r="D17" s="128" t="s">
        <v>160</v>
      </c>
      <c r="E17" s="128" t="s">
        <v>162</v>
      </c>
      <c r="F17" s="128" t="s">
        <v>300</v>
      </c>
      <c r="G17" s="128" t="s">
        <v>153</v>
      </c>
      <c r="H17" s="158">
        <f>567000+25000+21400</f>
        <v>613400</v>
      </c>
      <c r="I17" s="233" t="s">
        <v>264</v>
      </c>
      <c r="J17" s="246">
        <f>136813.51+41866.01+49871.61+68530.37</f>
        <v>297081.5</v>
      </c>
      <c r="K17" s="73"/>
      <c r="L17" s="73"/>
      <c r="M17" s="73">
        <f t="shared" si="0"/>
        <v>297081.5</v>
      </c>
      <c r="N17" s="73">
        <f t="shared" si="1"/>
        <v>316318.5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253</v>
      </c>
      <c r="D18" s="128" t="s">
        <v>160</v>
      </c>
      <c r="E18" s="128" t="s">
        <v>162</v>
      </c>
      <c r="F18" s="128" t="s">
        <v>181</v>
      </c>
      <c r="G18" s="128" t="s">
        <v>164</v>
      </c>
      <c r="H18" s="158">
        <v>137000</v>
      </c>
      <c r="I18" s="233" t="s">
        <v>264</v>
      </c>
      <c r="J18" s="246">
        <f>37618.14+9633.52+1500+1400+500+12792.39+1400+10142.9+1400+9985.63+1500+1000</f>
        <v>88872.58</v>
      </c>
      <c r="K18" s="73"/>
      <c r="L18" s="73"/>
      <c r="M18" s="73">
        <f t="shared" si="0"/>
        <v>88872.58</v>
      </c>
      <c r="N18" s="73">
        <f t="shared" si="1"/>
        <v>48127.42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253</v>
      </c>
      <c r="D19" s="128" t="s">
        <v>160</v>
      </c>
      <c r="E19" s="128" t="s">
        <v>162</v>
      </c>
      <c r="F19" s="128" t="s">
        <v>302</v>
      </c>
      <c r="G19" s="128" t="s">
        <v>165</v>
      </c>
      <c r="H19" s="158">
        <v>5000</v>
      </c>
      <c r="I19" s="233" t="s">
        <v>264</v>
      </c>
      <c r="J19" s="246">
        <f>1440+960+720</f>
        <v>3120</v>
      </c>
      <c r="K19" s="73"/>
      <c r="L19" s="73"/>
      <c r="M19" s="73">
        <f t="shared" si="0"/>
        <v>3120</v>
      </c>
      <c r="N19" s="73">
        <f t="shared" si="1"/>
        <v>1880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253</v>
      </c>
      <c r="D20" s="128" t="s">
        <v>160</v>
      </c>
      <c r="E20" s="128" t="s">
        <v>162</v>
      </c>
      <c r="F20" s="128" t="s">
        <v>302</v>
      </c>
      <c r="G20" s="128" t="s">
        <v>166</v>
      </c>
      <c r="H20" s="158">
        <v>48000</v>
      </c>
      <c r="I20" s="233" t="s">
        <v>264</v>
      </c>
      <c r="J20" s="246">
        <f>22815.88+5904.17+6803.14+3973+2888.41</f>
        <v>42384.600000000006</v>
      </c>
      <c r="K20" s="73"/>
      <c r="L20" s="73"/>
      <c r="M20" s="73">
        <f t="shared" si="0"/>
        <v>42384.600000000006</v>
      </c>
      <c r="N20" s="73">
        <f t="shared" si="1"/>
        <v>5615.3999999999942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253</v>
      </c>
      <c r="D21" s="128" t="s">
        <v>160</v>
      </c>
      <c r="E21" s="128" t="s">
        <v>162</v>
      </c>
      <c r="F21" s="128" t="s">
        <v>181</v>
      </c>
      <c r="G21" s="128" t="s">
        <v>167</v>
      </c>
      <c r="H21" s="73">
        <v>130000</v>
      </c>
      <c r="I21" s="233" t="s">
        <v>264</v>
      </c>
      <c r="J21" s="246">
        <f>54513.6+17530+1000+14973+2650+4968+10005+4968+1850+10005</f>
        <v>122462.6</v>
      </c>
      <c r="K21" s="73"/>
      <c r="L21" s="73"/>
      <c r="M21" s="73">
        <f t="shared" si="0"/>
        <v>122462.6</v>
      </c>
      <c r="N21" s="73">
        <f t="shared" si="1"/>
        <v>7537.3999999999942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253</v>
      </c>
      <c r="D22" s="128" t="s">
        <v>160</v>
      </c>
      <c r="E22" s="128" t="s">
        <v>162</v>
      </c>
      <c r="F22" s="128" t="s">
        <v>302</v>
      </c>
      <c r="G22" s="128" t="s">
        <v>167</v>
      </c>
      <c r="H22" s="73">
        <v>62400</v>
      </c>
      <c r="I22" s="233" t="s">
        <v>264</v>
      </c>
      <c r="J22" s="246">
        <f>11305.1+1000+1497.3+2523+7705.15+7090+2610+1608.85+12812.17+3473.11</f>
        <v>51624.68</v>
      </c>
      <c r="K22" s="73"/>
      <c r="L22" s="73"/>
      <c r="M22" s="73">
        <f>SUM(J22:L22)</f>
        <v>51624.68</v>
      </c>
      <c r="N22" s="73">
        <f>SUM(H22-M22)</f>
        <v>10775.32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253</v>
      </c>
      <c r="D23" s="128" t="s">
        <v>160</v>
      </c>
      <c r="E23" s="128" t="s">
        <v>162</v>
      </c>
      <c r="F23" s="128" t="s">
        <v>181</v>
      </c>
      <c r="G23" s="128" t="s">
        <v>168</v>
      </c>
      <c r="H23" s="73">
        <v>50000</v>
      </c>
      <c r="I23" s="233" t="s">
        <v>264</v>
      </c>
      <c r="J23" s="246">
        <f>11980+18525+400+600+1200+1950</f>
        <v>34655</v>
      </c>
      <c r="K23" s="73"/>
      <c r="L23" s="73"/>
      <c r="M23" s="73">
        <f t="shared" si="0"/>
        <v>34655</v>
      </c>
      <c r="N23" s="73">
        <f t="shared" si="1"/>
        <v>15345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253</v>
      </c>
      <c r="D24" s="128" t="s">
        <v>160</v>
      </c>
      <c r="E24" s="128" t="s">
        <v>162</v>
      </c>
      <c r="F24" s="128" t="s">
        <v>302</v>
      </c>
      <c r="G24" s="128" t="s">
        <v>168</v>
      </c>
      <c r="H24" s="73">
        <f>217000+200000+50000</f>
        <v>467000</v>
      </c>
      <c r="I24" s="233" t="s">
        <v>264</v>
      </c>
      <c r="J24" s="246">
        <f>112935.64+4832+17812.46+110238.6+60000+20780+35739.81+5985+3705.44+15797.43+2610+26680.65+4500+2546+5300+6671.8+2888+6000+14355</f>
        <v>459377.83</v>
      </c>
      <c r="K24" s="73"/>
      <c r="L24" s="73"/>
      <c r="M24" s="73">
        <f>SUM(J24:L24)</f>
        <v>459377.83</v>
      </c>
      <c r="N24" s="73">
        <f>SUM(H24-M24)</f>
        <v>7622.1699999999837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253</v>
      </c>
      <c r="D25" s="128" t="s">
        <v>160</v>
      </c>
      <c r="E25" s="128" t="s">
        <v>162</v>
      </c>
      <c r="F25" s="128" t="s">
        <v>302</v>
      </c>
      <c r="G25" s="128" t="s">
        <v>169</v>
      </c>
      <c r="H25" s="73">
        <v>100000</v>
      </c>
      <c r="I25" s="233" t="s">
        <v>264</v>
      </c>
      <c r="J25" s="246">
        <f>7300+1400</f>
        <v>8700</v>
      </c>
      <c r="K25" s="73"/>
      <c r="L25" s="73"/>
      <c r="M25" s="73">
        <f t="shared" si="0"/>
        <v>8700</v>
      </c>
      <c r="N25" s="73">
        <f t="shared" si="1"/>
        <v>91300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253</v>
      </c>
      <c r="D26" s="128" t="s">
        <v>160</v>
      </c>
      <c r="E26" s="128" t="s">
        <v>162</v>
      </c>
      <c r="F26" s="128" t="s">
        <v>303</v>
      </c>
      <c r="G26" s="128" t="s">
        <v>169</v>
      </c>
      <c r="H26" s="73">
        <f>10000+390000</f>
        <v>400000</v>
      </c>
      <c r="I26" s="233" t="s">
        <v>264</v>
      </c>
      <c r="J26" s="246">
        <f>11061+119268+119248</f>
        <v>249577</v>
      </c>
      <c r="K26" s="73"/>
      <c r="L26" s="73"/>
      <c r="M26" s="73">
        <f>SUM(J26:L26)</f>
        <v>249577</v>
      </c>
      <c r="N26" s="73">
        <f>SUM(H26-M26)</f>
        <v>150423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253</v>
      </c>
      <c r="D27" s="128" t="s">
        <v>160</v>
      </c>
      <c r="E27" s="128" t="s">
        <v>162</v>
      </c>
      <c r="F27" s="128" t="s">
        <v>304</v>
      </c>
      <c r="G27" s="128" t="s">
        <v>169</v>
      </c>
      <c r="H27" s="73">
        <f>400000-390000+20000</f>
        <v>30000</v>
      </c>
      <c r="I27" s="233" t="s">
        <v>264</v>
      </c>
      <c r="J27" s="246">
        <f>1260.35+0.93+17552+574.35+1.02+12.42+1533.44</f>
        <v>20934.509999999995</v>
      </c>
      <c r="K27" s="73"/>
      <c r="L27" s="73"/>
      <c r="M27" s="73">
        <f>SUM(J27:L27)</f>
        <v>20934.509999999995</v>
      </c>
      <c r="N27" s="73">
        <f>SUM(H27-M27)</f>
        <v>9065.4900000000052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253</v>
      </c>
      <c r="D28" s="128" t="s">
        <v>160</v>
      </c>
      <c r="E28" s="128" t="s">
        <v>162</v>
      </c>
      <c r="F28" s="128" t="s">
        <v>181</v>
      </c>
      <c r="G28" s="128" t="s">
        <v>170</v>
      </c>
      <c r="H28" s="73">
        <f>30000+20000</f>
        <v>50000</v>
      </c>
      <c r="I28" s="233" t="s">
        <v>264</v>
      </c>
      <c r="J28" s="246">
        <f>13590</f>
        <v>13590</v>
      </c>
      <c r="K28" s="73"/>
      <c r="L28" s="73"/>
      <c r="M28" s="73">
        <f>SUM(J28:L28)</f>
        <v>13590</v>
      </c>
      <c r="N28" s="73">
        <f>SUM(H28-M28)</f>
        <v>36410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253</v>
      </c>
      <c r="D29" s="128" t="s">
        <v>160</v>
      </c>
      <c r="E29" s="128" t="s">
        <v>162</v>
      </c>
      <c r="F29" s="128" t="s">
        <v>302</v>
      </c>
      <c r="G29" s="128" t="s">
        <v>170</v>
      </c>
      <c r="H29" s="73">
        <f>500000+14000</f>
        <v>514000</v>
      </c>
      <c r="I29" s="233" t="s">
        <v>264</v>
      </c>
      <c r="J29" s="246">
        <f>7449+505900</f>
        <v>513349</v>
      </c>
      <c r="K29" s="73"/>
      <c r="L29" s="73"/>
      <c r="M29" s="73">
        <f t="shared" si="0"/>
        <v>513349</v>
      </c>
      <c r="N29" s="73">
        <f t="shared" si="1"/>
        <v>651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253</v>
      </c>
      <c r="D30" s="128" t="s">
        <v>160</v>
      </c>
      <c r="E30" s="128" t="s">
        <v>162</v>
      </c>
      <c r="F30" s="128" t="s">
        <v>181</v>
      </c>
      <c r="G30" s="128" t="s">
        <v>171</v>
      </c>
      <c r="H30" s="73"/>
      <c r="I30" s="233" t="s">
        <v>264</v>
      </c>
      <c r="J30" s="246"/>
      <c r="K30" s="73"/>
      <c r="L30" s="73"/>
      <c r="M30" s="73">
        <f>SUM(J30:L30)</f>
        <v>0</v>
      </c>
      <c r="N30" s="73">
        <f>SUM(H30-M30)</f>
        <v>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253</v>
      </c>
      <c r="D31" s="128" t="s">
        <v>160</v>
      </c>
      <c r="E31" s="128" t="s">
        <v>162</v>
      </c>
      <c r="F31" s="128" t="s">
        <v>302</v>
      </c>
      <c r="G31" s="128" t="s">
        <v>171</v>
      </c>
      <c r="H31" s="73">
        <v>382000</v>
      </c>
      <c r="I31" s="233" t="s">
        <v>264</v>
      </c>
      <c r="J31" s="246">
        <f>73162.49+1600+315+200+4200+17586+2345+7155+4430+5200+1454.5+12846.1+2000+1824.06+17000+5000+3750+1000.4+4000+22000+31170+2250+720</f>
        <v>221208.55000000002</v>
      </c>
      <c r="K31" s="73"/>
      <c r="L31" s="73"/>
      <c r="M31" s="73">
        <f t="shared" si="0"/>
        <v>221208.55000000002</v>
      </c>
      <c r="N31" s="73">
        <f t="shared" si="1"/>
        <v>160791.44999999998</v>
      </c>
      <c r="O31" s="73"/>
    </row>
    <row r="32" spans="1:15" s="68" customFormat="1" ht="19.5" customHeight="1" x14ac:dyDescent="0.2">
      <c r="A32" s="118" t="s">
        <v>212</v>
      </c>
      <c r="B32" s="114"/>
      <c r="C32" s="195" t="s">
        <v>147</v>
      </c>
      <c r="D32" s="195" t="s">
        <v>172</v>
      </c>
      <c r="E32" s="195" t="s">
        <v>149</v>
      </c>
      <c r="F32" s="195" t="s">
        <v>147</v>
      </c>
      <c r="G32" s="195" t="s">
        <v>147</v>
      </c>
      <c r="H32" s="115">
        <f>SUM(H33)</f>
        <v>30000</v>
      </c>
      <c r="I32" s="234" t="s">
        <v>264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30000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253</v>
      </c>
      <c r="D33" s="128" t="s">
        <v>172</v>
      </c>
      <c r="E33" s="128" t="s">
        <v>305</v>
      </c>
      <c r="F33" s="128" t="s">
        <v>302</v>
      </c>
      <c r="G33" s="196" t="s">
        <v>169</v>
      </c>
      <c r="H33" s="117">
        <v>30000</v>
      </c>
      <c r="I33" s="237" t="s">
        <v>264</v>
      </c>
      <c r="J33" s="117"/>
      <c r="K33" s="117"/>
      <c r="L33" s="119"/>
      <c r="M33" s="85">
        <f t="shared" si="0"/>
        <v>0</v>
      </c>
      <c r="N33" s="85">
        <f t="shared" si="1"/>
        <v>30000</v>
      </c>
      <c r="O33" s="85"/>
    </row>
    <row r="34" spans="1:15" s="68" customFormat="1" ht="19.5" customHeight="1" x14ac:dyDescent="0.2">
      <c r="A34" s="118" t="s">
        <v>269</v>
      </c>
      <c r="B34" s="114"/>
      <c r="C34" s="195" t="s">
        <v>147</v>
      </c>
      <c r="D34" s="195" t="s">
        <v>282</v>
      </c>
      <c r="E34" s="195" t="s">
        <v>149</v>
      </c>
      <c r="F34" s="195" t="s">
        <v>147</v>
      </c>
      <c r="G34" s="195" t="s">
        <v>147</v>
      </c>
      <c r="H34" s="115">
        <f>SUM(H35)</f>
        <v>20000</v>
      </c>
      <c r="I34" s="234" t="s">
        <v>264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20000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253</v>
      </c>
      <c r="D35" s="128" t="s">
        <v>282</v>
      </c>
      <c r="E35" s="128" t="s">
        <v>270</v>
      </c>
      <c r="F35" s="128" t="s">
        <v>306</v>
      </c>
      <c r="G35" s="196" t="s">
        <v>169</v>
      </c>
      <c r="H35" s="117">
        <v>20000</v>
      </c>
      <c r="I35" s="237" t="s">
        <v>264</v>
      </c>
      <c r="J35" s="117"/>
      <c r="K35" s="117"/>
      <c r="L35" s="119"/>
      <c r="M35" s="85">
        <f>SUM(J35:L35)</f>
        <v>0</v>
      </c>
      <c r="N35" s="85">
        <f>SUM(H35-M35)</f>
        <v>20000</v>
      </c>
      <c r="O35" s="85"/>
    </row>
    <row r="36" spans="1:15" s="68" customFormat="1" ht="19.5" customHeight="1" x14ac:dyDescent="0.2">
      <c r="A36" s="118" t="s">
        <v>83</v>
      </c>
      <c r="B36" s="114"/>
      <c r="C36" s="195" t="s">
        <v>147</v>
      </c>
      <c r="D36" s="195" t="s">
        <v>348</v>
      </c>
      <c r="E36" s="195" t="s">
        <v>149</v>
      </c>
      <c r="F36" s="195" t="s">
        <v>147</v>
      </c>
      <c r="G36" s="195" t="s">
        <v>147</v>
      </c>
      <c r="H36" s="115">
        <f>SUM(H37)</f>
        <v>43000</v>
      </c>
      <c r="I36" s="234" t="s">
        <v>264</v>
      </c>
      <c r="J36" s="115">
        <f>SUM(J37)</f>
        <v>21500</v>
      </c>
      <c r="K36" s="115">
        <f>SUM(K37)</f>
        <v>0</v>
      </c>
      <c r="L36" s="115">
        <f>SUM(L37)</f>
        <v>0</v>
      </c>
      <c r="M36" s="84">
        <f>SUM(J36:L36)</f>
        <v>21500</v>
      </c>
      <c r="N36" s="84">
        <f>SUM(H36-M36)</f>
        <v>21500</v>
      </c>
      <c r="O36" s="84"/>
    </row>
    <row r="37" spans="1:15" s="163" customFormat="1" ht="19.5" customHeight="1" x14ac:dyDescent="0.2">
      <c r="A37" s="162" t="s">
        <v>28</v>
      </c>
      <c r="B37" s="196"/>
      <c r="C37" s="128" t="s">
        <v>253</v>
      </c>
      <c r="D37" s="128" t="s">
        <v>159</v>
      </c>
      <c r="E37" s="128" t="s">
        <v>162</v>
      </c>
      <c r="F37" s="128" t="s">
        <v>320</v>
      </c>
      <c r="G37" s="196" t="s">
        <v>277</v>
      </c>
      <c r="H37" s="117">
        <v>43000</v>
      </c>
      <c r="I37" s="237" t="s">
        <v>264</v>
      </c>
      <c r="J37" s="117">
        <v>21500</v>
      </c>
      <c r="K37" s="117"/>
      <c r="L37" s="119"/>
      <c r="M37" s="85">
        <f>SUM(J37:L37)</f>
        <v>21500</v>
      </c>
      <c r="N37" s="85">
        <f>SUM(H37-M37)</f>
        <v>21500</v>
      </c>
      <c r="O37" s="85"/>
    </row>
    <row r="38" spans="1:15" s="68" customFormat="1" ht="19.5" customHeight="1" x14ac:dyDescent="0.2">
      <c r="A38" s="179" t="s">
        <v>103</v>
      </c>
      <c r="B38" s="12"/>
      <c r="C38" s="12" t="s">
        <v>147</v>
      </c>
      <c r="D38" s="12" t="s">
        <v>173</v>
      </c>
      <c r="E38" s="12" t="s">
        <v>149</v>
      </c>
      <c r="F38" s="12" t="s">
        <v>147</v>
      </c>
      <c r="G38" s="12" t="s">
        <v>147</v>
      </c>
      <c r="H38" s="123">
        <f>SUM(H39)</f>
        <v>227800</v>
      </c>
      <c r="I38" s="239" t="s">
        <v>264</v>
      </c>
      <c r="J38" s="123">
        <f>SUM(J39)</f>
        <v>117969.75</v>
      </c>
      <c r="K38" s="123">
        <f>SUM(K39)</f>
        <v>0</v>
      </c>
      <c r="L38" s="123">
        <f>SUM(L39)</f>
        <v>0</v>
      </c>
      <c r="M38" s="95">
        <f t="shared" si="0"/>
        <v>117969.75</v>
      </c>
      <c r="N38" s="95">
        <f t="shared" si="1"/>
        <v>109830.25</v>
      </c>
      <c r="O38" s="95"/>
    </row>
    <row r="39" spans="1:15" s="48" customFormat="1" ht="19.5" customHeight="1" x14ac:dyDescent="0.2">
      <c r="A39" s="124" t="s">
        <v>31</v>
      </c>
      <c r="B39" s="125"/>
      <c r="C39" s="125" t="s">
        <v>147</v>
      </c>
      <c r="D39" s="125" t="s">
        <v>174</v>
      </c>
      <c r="E39" s="125" t="s">
        <v>149</v>
      </c>
      <c r="F39" s="125" t="s">
        <v>147</v>
      </c>
      <c r="G39" s="125" t="s">
        <v>147</v>
      </c>
      <c r="H39" s="44">
        <f>SUM(H40:H46)</f>
        <v>227800</v>
      </c>
      <c r="I39" s="232" t="s">
        <v>264</v>
      </c>
      <c r="J39" s="44">
        <f>SUM(J40:J46)</f>
        <v>117969.75</v>
      </c>
      <c r="K39" s="44">
        <f>SUM(K40:K46)</f>
        <v>0</v>
      </c>
      <c r="L39" s="44">
        <f>SUM(L40:L46)</f>
        <v>0</v>
      </c>
      <c r="M39" s="44">
        <f>SUM(M40:M46)</f>
        <v>117969.75</v>
      </c>
      <c r="N39" s="44">
        <f>SUM(N40:N46)</f>
        <v>109830.25</v>
      </c>
      <c r="O39" s="44"/>
    </row>
    <row r="40" spans="1:15" s="51" customFormat="1" ht="19.5" customHeight="1" x14ac:dyDescent="0.2">
      <c r="A40" s="165" t="s">
        <v>19</v>
      </c>
      <c r="B40" s="166"/>
      <c r="C40" s="128" t="s">
        <v>253</v>
      </c>
      <c r="D40" s="166" t="s">
        <v>174</v>
      </c>
      <c r="E40" s="166" t="s">
        <v>175</v>
      </c>
      <c r="F40" s="166" t="s">
        <v>300</v>
      </c>
      <c r="G40" s="166" t="s">
        <v>152</v>
      </c>
      <c r="H40" s="73">
        <v>167800</v>
      </c>
      <c r="I40" s="233" t="s">
        <v>264</v>
      </c>
      <c r="J40" s="246">
        <f>48980.8+3793.6+9400+1715+2078.6+9400+1715+17700+2078.6</f>
        <v>96861.6</v>
      </c>
      <c r="K40" s="73"/>
      <c r="L40" s="73"/>
      <c r="M40" s="73">
        <f>SUM(J40:L40)</f>
        <v>96861.6</v>
      </c>
      <c r="N40" s="73">
        <f t="shared" si="1"/>
        <v>70938.399999999994</v>
      </c>
      <c r="O40" s="73"/>
    </row>
    <row r="41" spans="1:15" s="51" customFormat="1" ht="19.5" customHeight="1" x14ac:dyDescent="0.2">
      <c r="A41" s="162" t="s">
        <v>20</v>
      </c>
      <c r="B41" s="128"/>
      <c r="C41" s="128" t="s">
        <v>253</v>
      </c>
      <c r="D41" s="166" t="s">
        <v>174</v>
      </c>
      <c r="E41" s="166" t="s">
        <v>175</v>
      </c>
      <c r="F41" s="166" t="s">
        <v>300</v>
      </c>
      <c r="G41" s="128" t="s">
        <v>153</v>
      </c>
      <c r="H41" s="73">
        <v>50600</v>
      </c>
      <c r="I41" s="233" t="s">
        <v>264</v>
      </c>
      <c r="J41" s="73">
        <f>8017+4215.01+3958.07+3958.07</f>
        <v>20148.150000000001</v>
      </c>
      <c r="K41" s="73"/>
      <c r="L41" s="73"/>
      <c r="M41" s="73">
        <f>SUM(J41:L41)</f>
        <v>20148.150000000001</v>
      </c>
      <c r="N41" s="73">
        <f t="shared" si="1"/>
        <v>30451.85</v>
      </c>
      <c r="O41" s="73"/>
    </row>
    <row r="42" spans="1:15" s="51" customFormat="1" ht="19.5" customHeight="1" x14ac:dyDescent="0.2">
      <c r="A42" s="162" t="s">
        <v>23</v>
      </c>
      <c r="B42" s="128"/>
      <c r="C42" s="128" t="s">
        <v>253</v>
      </c>
      <c r="D42" s="166" t="s">
        <v>174</v>
      </c>
      <c r="E42" s="166" t="s">
        <v>175</v>
      </c>
      <c r="F42" s="166" t="s">
        <v>81</v>
      </c>
      <c r="G42" s="128" t="s">
        <v>164</v>
      </c>
      <c r="H42" s="73"/>
      <c r="I42" s="233" t="s">
        <v>264</v>
      </c>
      <c r="J42" s="73"/>
      <c r="K42" s="73"/>
      <c r="L42" s="73"/>
      <c r="M42" s="73">
        <f t="shared" si="0"/>
        <v>0</v>
      </c>
      <c r="N42" s="73">
        <f t="shared" si="1"/>
        <v>0</v>
      </c>
      <c r="O42" s="73"/>
    </row>
    <row r="43" spans="1:15" s="51" customFormat="1" ht="19.5" customHeight="1" x14ac:dyDescent="0.2">
      <c r="A43" s="162" t="s">
        <v>24</v>
      </c>
      <c r="B43" s="128"/>
      <c r="C43" s="128" t="s">
        <v>253</v>
      </c>
      <c r="D43" s="166" t="s">
        <v>174</v>
      </c>
      <c r="E43" s="166" t="s">
        <v>175</v>
      </c>
      <c r="F43" s="166" t="s">
        <v>302</v>
      </c>
      <c r="G43" s="128" t="s">
        <v>165</v>
      </c>
      <c r="H43" s="73">
        <v>3900</v>
      </c>
      <c r="I43" s="233" t="s">
        <v>264</v>
      </c>
      <c r="J43" s="255">
        <f>960</f>
        <v>960</v>
      </c>
      <c r="K43" s="73"/>
      <c r="L43" s="73"/>
      <c r="M43" s="73">
        <f>SUM(J43:L43)</f>
        <v>960</v>
      </c>
      <c r="N43" s="73">
        <f>SUM(H43-M43)</f>
        <v>2940</v>
      </c>
      <c r="O43" s="73"/>
    </row>
    <row r="44" spans="1:15" s="68" customFormat="1" ht="19.5" customHeight="1" x14ac:dyDescent="0.2">
      <c r="A44" s="162" t="s">
        <v>27</v>
      </c>
      <c r="B44" s="114"/>
      <c r="C44" s="128" t="s">
        <v>253</v>
      </c>
      <c r="D44" s="196" t="s">
        <v>254</v>
      </c>
      <c r="E44" s="196" t="s">
        <v>175</v>
      </c>
      <c r="F44" s="196" t="s">
        <v>81</v>
      </c>
      <c r="G44" s="128" t="s">
        <v>168</v>
      </c>
      <c r="H44" s="120"/>
      <c r="I44" s="238" t="s">
        <v>264</v>
      </c>
      <c r="J44" s="120"/>
      <c r="K44" s="120"/>
      <c r="L44" s="120"/>
      <c r="M44" s="85">
        <f>SUM(J44:L44)</f>
        <v>0</v>
      </c>
      <c r="N44" s="85">
        <f>SUM(H44-M44)</f>
        <v>0</v>
      </c>
      <c r="O44" s="85"/>
    </row>
    <row r="45" spans="1:15" s="51" customFormat="1" ht="19.5" customHeight="1" x14ac:dyDescent="0.2">
      <c r="A45" s="162" t="s">
        <v>30</v>
      </c>
      <c r="B45" s="128"/>
      <c r="C45" s="128" t="s">
        <v>253</v>
      </c>
      <c r="D45" s="166" t="s">
        <v>174</v>
      </c>
      <c r="E45" s="166" t="s">
        <v>175</v>
      </c>
      <c r="F45" s="166" t="s">
        <v>81</v>
      </c>
      <c r="G45" s="128" t="s">
        <v>170</v>
      </c>
      <c r="H45" s="73"/>
      <c r="I45" s="233" t="s">
        <v>264</v>
      </c>
      <c r="J45" s="73"/>
      <c r="K45" s="73"/>
      <c r="L45" s="73"/>
      <c r="M45" s="73">
        <f>SUM(J45:L45)</f>
        <v>0</v>
      </c>
      <c r="N45" s="73">
        <f>SUM(H45-M45)</f>
        <v>0</v>
      </c>
      <c r="O45" s="73"/>
    </row>
    <row r="46" spans="1:15" s="51" customFormat="1" ht="19.5" customHeight="1" x14ac:dyDescent="0.2">
      <c r="A46" s="162" t="s">
        <v>30</v>
      </c>
      <c r="B46" s="128"/>
      <c r="C46" s="128" t="s">
        <v>253</v>
      </c>
      <c r="D46" s="166" t="s">
        <v>174</v>
      </c>
      <c r="E46" s="166" t="s">
        <v>175</v>
      </c>
      <c r="F46" s="166" t="s">
        <v>302</v>
      </c>
      <c r="G46" s="128" t="s">
        <v>171</v>
      </c>
      <c r="H46" s="73">
        <v>5500</v>
      </c>
      <c r="I46" s="233" t="s">
        <v>264</v>
      </c>
      <c r="J46" s="73"/>
      <c r="K46" s="73"/>
      <c r="L46" s="73"/>
      <c r="M46" s="73">
        <f>SUM(J46:L46)</f>
        <v>0</v>
      </c>
      <c r="N46" s="73">
        <f>SUM(H46-M46)</f>
        <v>5500</v>
      </c>
      <c r="O46" s="73"/>
    </row>
    <row r="47" spans="1:15" s="68" customFormat="1" ht="27.75" customHeight="1" x14ac:dyDescent="0.2">
      <c r="A47" s="121" t="s">
        <v>104</v>
      </c>
      <c r="B47" s="12"/>
      <c r="C47" s="12" t="s">
        <v>147</v>
      </c>
      <c r="D47" s="12" t="s">
        <v>176</v>
      </c>
      <c r="E47" s="12" t="s">
        <v>149</v>
      </c>
      <c r="F47" s="12" t="s">
        <v>147</v>
      </c>
      <c r="G47" s="12" t="s">
        <v>147</v>
      </c>
      <c r="H47" s="123">
        <f>SUM(H56+H60+H64+H48)</f>
        <v>70000</v>
      </c>
      <c r="I47" s="239" t="s">
        <v>264</v>
      </c>
      <c r="J47" s="123">
        <f>SUM(J56+J60+J64+J48)</f>
        <v>21900</v>
      </c>
      <c r="K47" s="123">
        <f>SUM(K56+K60+K64+K48)</f>
        <v>0</v>
      </c>
      <c r="L47" s="123">
        <f>SUM(L56+L60+L64+L48)</f>
        <v>0</v>
      </c>
      <c r="M47" s="123">
        <f>SUM(M56+M60+M64+M48)</f>
        <v>21900</v>
      </c>
      <c r="N47" s="123">
        <f>SUM(N56+N60+N64+N48)</f>
        <v>48100</v>
      </c>
      <c r="O47" s="123"/>
    </row>
    <row r="48" spans="1:15" s="68" customFormat="1" ht="45" x14ac:dyDescent="0.2">
      <c r="A48" s="111" t="s">
        <v>138</v>
      </c>
      <c r="B48" s="195"/>
      <c r="C48" s="195" t="s">
        <v>147</v>
      </c>
      <c r="D48" s="195" t="s">
        <v>307</v>
      </c>
      <c r="E48" s="195" t="s">
        <v>149</v>
      </c>
      <c r="F48" s="195" t="s">
        <v>147</v>
      </c>
      <c r="G48" s="195" t="s">
        <v>147</v>
      </c>
      <c r="H48" s="84">
        <f>SUM(H49+H51+H50)</f>
        <v>30000</v>
      </c>
      <c r="I48" s="240" t="s">
        <v>264</v>
      </c>
      <c r="J48" s="84">
        <f>SUM(J49+J51+J50)</f>
        <v>21900</v>
      </c>
      <c r="K48" s="84">
        <f>SUM(K49+K50)</f>
        <v>0</v>
      </c>
      <c r="L48" s="84">
        <f>SUM(L49+L50)</f>
        <v>0</v>
      </c>
      <c r="M48" s="84">
        <f>SUM(M49+M50)</f>
        <v>21900</v>
      </c>
      <c r="N48" s="84">
        <f>SUM(N49+N50)</f>
        <v>8100</v>
      </c>
      <c r="O48" s="84"/>
    </row>
    <row r="49" spans="1:15" s="51" customFormat="1" ht="19.5" customHeight="1" x14ac:dyDescent="0.2">
      <c r="A49" s="162" t="s">
        <v>27</v>
      </c>
      <c r="B49" s="128"/>
      <c r="C49" s="128" t="s">
        <v>253</v>
      </c>
      <c r="D49" s="128" t="s">
        <v>307</v>
      </c>
      <c r="E49" s="128" t="s">
        <v>308</v>
      </c>
      <c r="F49" s="128" t="s">
        <v>302</v>
      </c>
      <c r="G49" s="128" t="s">
        <v>168</v>
      </c>
      <c r="H49" s="73">
        <f>30000-21900</f>
        <v>8100</v>
      </c>
      <c r="I49" s="233" t="s">
        <v>264</v>
      </c>
      <c r="J49" s="73"/>
      <c r="K49" s="73"/>
      <c r="L49" s="73"/>
      <c r="M49" s="73">
        <f>SUM(J49:L49)</f>
        <v>0</v>
      </c>
      <c r="N49" s="73">
        <f>SUM(H49-M49)</f>
        <v>8100</v>
      </c>
      <c r="O49" s="73"/>
    </row>
    <row r="50" spans="1:15" s="51" customFormat="1" ht="19.5" customHeight="1" x14ac:dyDescent="0.2">
      <c r="A50" s="112" t="s">
        <v>319</v>
      </c>
      <c r="B50" s="128"/>
      <c r="C50" s="128" t="s">
        <v>253</v>
      </c>
      <c r="D50" s="128" t="s">
        <v>307</v>
      </c>
      <c r="E50" s="128" t="s">
        <v>308</v>
      </c>
      <c r="F50" s="128" t="s">
        <v>302</v>
      </c>
      <c r="G50" s="128" t="s">
        <v>170</v>
      </c>
      <c r="H50" s="73">
        <v>21900</v>
      </c>
      <c r="I50" s="233" t="s">
        <v>264</v>
      </c>
      <c r="J50" s="246">
        <v>21900</v>
      </c>
      <c r="K50" s="73"/>
      <c r="L50" s="73"/>
      <c r="M50" s="73">
        <f>SUM(J50:L50)</f>
        <v>21900</v>
      </c>
      <c r="N50" s="73">
        <f>SUM(H50-M50)</f>
        <v>0</v>
      </c>
      <c r="O50" s="73"/>
    </row>
    <row r="51" spans="1:15" s="51" customFormat="1" ht="19.5" customHeight="1" x14ac:dyDescent="0.2">
      <c r="A51" s="112" t="s">
        <v>336</v>
      </c>
      <c r="B51" s="128"/>
      <c r="C51" s="128" t="s">
        <v>253</v>
      </c>
      <c r="D51" s="128" t="s">
        <v>307</v>
      </c>
      <c r="E51" s="128" t="s">
        <v>308</v>
      </c>
      <c r="F51" s="128" t="s">
        <v>302</v>
      </c>
      <c r="G51" s="128" t="s">
        <v>171</v>
      </c>
      <c r="H51" s="73"/>
      <c r="I51" s="233" t="s">
        <v>264</v>
      </c>
      <c r="J51" s="246"/>
      <c r="K51" s="73"/>
      <c r="L51" s="73"/>
      <c r="M51" s="73">
        <f>SUM(J51:L51)</f>
        <v>0</v>
      </c>
      <c r="N51" s="73">
        <f>SUM(H51-M51)</f>
        <v>0</v>
      </c>
      <c r="O51" s="73"/>
    </row>
    <row r="52" spans="1:15" s="68" customFormat="1" ht="19.5" customHeight="1" x14ac:dyDescent="0.2">
      <c r="A52" s="118" t="s">
        <v>83</v>
      </c>
      <c r="B52" s="114"/>
      <c r="C52" s="195" t="s">
        <v>147</v>
      </c>
      <c r="D52" s="125" t="s">
        <v>317</v>
      </c>
      <c r="E52" s="195" t="s">
        <v>149</v>
      </c>
      <c r="F52" s="195" t="s">
        <v>147</v>
      </c>
      <c r="G52" s="195" t="s">
        <v>147</v>
      </c>
      <c r="H52" s="120">
        <f>SUM(H53:H55)</f>
        <v>6800</v>
      </c>
      <c r="I52" s="238" t="s">
        <v>264</v>
      </c>
      <c r="J52" s="120">
        <f>SUM(J53:J55)</f>
        <v>0</v>
      </c>
      <c r="K52" s="120">
        <f>SUM(K53:K55)</f>
        <v>0</v>
      </c>
      <c r="L52" s="120">
        <f>SUM(L53:L55)</f>
        <v>0</v>
      </c>
      <c r="M52" s="120">
        <f>SUM(M53:M55)</f>
        <v>0</v>
      </c>
      <c r="N52" s="120">
        <f>SUM(N53:N55)</f>
        <v>6800</v>
      </c>
      <c r="O52" s="120"/>
    </row>
    <row r="53" spans="1:15" s="68" customFormat="1" ht="19.5" customHeight="1" x14ac:dyDescent="0.2">
      <c r="A53" s="162" t="s">
        <v>27</v>
      </c>
      <c r="B53" s="114"/>
      <c r="C53" s="128" t="s">
        <v>253</v>
      </c>
      <c r="D53" s="196" t="s">
        <v>317</v>
      </c>
      <c r="E53" s="196" t="s">
        <v>351</v>
      </c>
      <c r="F53" s="196" t="s">
        <v>302</v>
      </c>
      <c r="G53" s="128" t="s">
        <v>168</v>
      </c>
      <c r="H53" s="120"/>
      <c r="I53" s="238" t="s">
        <v>264</v>
      </c>
      <c r="J53" s="120"/>
      <c r="K53" s="120"/>
      <c r="L53" s="120"/>
      <c r="M53" s="85">
        <f>SUM(J53:L53)</f>
        <v>0</v>
      </c>
      <c r="N53" s="85">
        <f>SUM(H53-M53)</f>
        <v>0</v>
      </c>
      <c r="O53" s="85"/>
    </row>
    <row r="54" spans="1:15" s="163" customFormat="1" ht="19.5" customHeight="1" x14ac:dyDescent="0.2">
      <c r="A54" s="112" t="s">
        <v>29</v>
      </c>
      <c r="B54" s="196"/>
      <c r="C54" s="128" t="s">
        <v>253</v>
      </c>
      <c r="D54" s="196" t="s">
        <v>317</v>
      </c>
      <c r="E54" s="196" t="s">
        <v>351</v>
      </c>
      <c r="F54" s="196" t="s">
        <v>302</v>
      </c>
      <c r="G54" s="196" t="s">
        <v>170</v>
      </c>
      <c r="H54" s="117"/>
      <c r="I54" s="237" t="s">
        <v>264</v>
      </c>
      <c r="J54" s="117"/>
      <c r="K54" s="117"/>
      <c r="L54" s="119"/>
      <c r="M54" s="85">
        <f>SUM(J54:L54)</f>
        <v>0</v>
      </c>
      <c r="N54" s="85">
        <f>SUM(H54-M54)</f>
        <v>0</v>
      </c>
      <c r="O54" s="85"/>
    </row>
    <row r="55" spans="1:15" s="68" customFormat="1" ht="19.5" customHeight="1" x14ac:dyDescent="0.2">
      <c r="A55" s="112" t="s">
        <v>30</v>
      </c>
      <c r="B55" s="196"/>
      <c r="C55" s="128" t="s">
        <v>253</v>
      </c>
      <c r="D55" s="196" t="s">
        <v>317</v>
      </c>
      <c r="E55" s="196" t="s">
        <v>351</v>
      </c>
      <c r="F55" s="196" t="s">
        <v>302</v>
      </c>
      <c r="G55" s="196" t="s">
        <v>171</v>
      </c>
      <c r="H55" s="117">
        <v>6800</v>
      </c>
      <c r="I55" s="237" t="s">
        <v>264</v>
      </c>
      <c r="J55" s="247"/>
      <c r="K55" s="117"/>
      <c r="L55" s="119"/>
      <c r="M55" s="73">
        <f>SUM(J55:L55)</f>
        <v>0</v>
      </c>
      <c r="N55" s="73">
        <f>SUM(H55-M55)</f>
        <v>6800</v>
      </c>
      <c r="O55" s="73"/>
    </row>
    <row r="56" spans="1:15" s="68" customFormat="1" ht="45" x14ac:dyDescent="0.2">
      <c r="A56" s="111" t="s">
        <v>138</v>
      </c>
      <c r="B56" s="195"/>
      <c r="C56" s="195" t="s">
        <v>147</v>
      </c>
      <c r="D56" s="195" t="s">
        <v>177</v>
      </c>
      <c r="E56" s="195" t="s">
        <v>149</v>
      </c>
      <c r="F56" s="195" t="s">
        <v>147</v>
      </c>
      <c r="G56" s="195" t="s">
        <v>147</v>
      </c>
      <c r="H56" s="84">
        <f>SUM(H58+H57)</f>
        <v>20000</v>
      </c>
      <c r="I56" s="240" t="s">
        <v>264</v>
      </c>
      <c r="J56" s="84">
        <f>SUM(J58+J57)</f>
        <v>0</v>
      </c>
      <c r="K56" s="84">
        <f>SUM(K58+K59)</f>
        <v>0</v>
      </c>
      <c r="L56" s="84">
        <f>SUM(L58+L59)</f>
        <v>0</v>
      </c>
      <c r="M56" s="84">
        <f>SUM(M58+M59)</f>
        <v>0</v>
      </c>
      <c r="N56" s="84">
        <f>SUM(N58+N57)</f>
        <v>20000</v>
      </c>
      <c r="O56" s="84"/>
    </row>
    <row r="57" spans="1:15" s="51" customFormat="1" ht="19.5" customHeight="1" x14ac:dyDescent="0.2">
      <c r="A57" s="162" t="s">
        <v>27</v>
      </c>
      <c r="B57" s="128"/>
      <c r="C57" s="128" t="s">
        <v>253</v>
      </c>
      <c r="D57" s="128" t="s">
        <v>177</v>
      </c>
      <c r="E57" s="128" t="s">
        <v>178</v>
      </c>
      <c r="F57" s="128" t="s">
        <v>302</v>
      </c>
      <c r="G57" s="128" t="s">
        <v>167</v>
      </c>
      <c r="H57" s="73"/>
      <c r="I57" s="233" t="s">
        <v>264</v>
      </c>
      <c r="J57" s="73"/>
      <c r="K57" s="73"/>
      <c r="L57" s="73"/>
      <c r="M57" s="73">
        <f>SUM(J57:L57)</f>
        <v>0</v>
      </c>
      <c r="N57" s="73">
        <f>SUM(H57-M57)</f>
        <v>0</v>
      </c>
      <c r="O57" s="73"/>
    </row>
    <row r="58" spans="1:15" s="51" customFormat="1" ht="19.5" customHeight="1" x14ac:dyDescent="0.2">
      <c r="A58" s="162" t="s">
        <v>27</v>
      </c>
      <c r="B58" s="128"/>
      <c r="C58" s="128" t="s">
        <v>253</v>
      </c>
      <c r="D58" s="128" t="s">
        <v>177</v>
      </c>
      <c r="E58" s="128" t="s">
        <v>178</v>
      </c>
      <c r="F58" s="128" t="s">
        <v>302</v>
      </c>
      <c r="G58" s="128" t="s">
        <v>168</v>
      </c>
      <c r="H58" s="73">
        <v>20000</v>
      </c>
      <c r="I58" s="233" t="s">
        <v>264</v>
      </c>
      <c r="J58" s="73"/>
      <c r="K58" s="73"/>
      <c r="L58" s="73"/>
      <c r="M58" s="73">
        <f>SUM(J58:L58)</f>
        <v>0</v>
      </c>
      <c r="N58" s="73">
        <f>SUM(H58-M58)</f>
        <v>20000</v>
      </c>
      <c r="O58" s="73"/>
    </row>
    <row r="59" spans="1:15" s="51" customFormat="1" ht="19.5" customHeight="1" x14ac:dyDescent="0.2">
      <c r="A59" s="112" t="s">
        <v>30</v>
      </c>
      <c r="B59" s="128"/>
      <c r="C59" s="128" t="s">
        <v>253</v>
      </c>
      <c r="D59" s="128" t="s">
        <v>177</v>
      </c>
      <c r="E59" s="128" t="s">
        <v>178</v>
      </c>
      <c r="F59" s="128" t="s">
        <v>302</v>
      </c>
      <c r="G59" s="128" t="s">
        <v>170</v>
      </c>
      <c r="H59" s="73"/>
      <c r="I59" s="233" t="s">
        <v>264</v>
      </c>
      <c r="J59" s="246"/>
      <c r="K59" s="73"/>
      <c r="L59" s="73"/>
      <c r="M59" s="73">
        <f>SUM(J59:L59)</f>
        <v>0</v>
      </c>
      <c r="N59" s="73">
        <f>SUM(H59-M59)</f>
        <v>0</v>
      </c>
      <c r="O59" s="73"/>
    </row>
    <row r="60" spans="1:15" s="90" customFormat="1" ht="15.75" x14ac:dyDescent="0.2">
      <c r="A60" s="222" t="s">
        <v>224</v>
      </c>
      <c r="B60" s="223"/>
      <c r="C60" s="223" t="s">
        <v>147</v>
      </c>
      <c r="D60" s="223" t="s">
        <v>223</v>
      </c>
      <c r="E60" s="223" t="s">
        <v>149</v>
      </c>
      <c r="F60" s="223" t="s">
        <v>147</v>
      </c>
      <c r="G60" s="223" t="s">
        <v>147</v>
      </c>
      <c r="H60" s="224">
        <f>SUM(H61+H62)</f>
        <v>20000</v>
      </c>
      <c r="I60" s="241" t="s">
        <v>264</v>
      </c>
      <c r="J60" s="224">
        <f>SUM(J61+J62)</f>
        <v>0</v>
      </c>
      <c r="K60" s="224">
        <f>SUM(K61+K63)</f>
        <v>0</v>
      </c>
      <c r="L60" s="224">
        <f>SUM(L61+L63)</f>
        <v>0</v>
      </c>
      <c r="M60" s="224">
        <f>SUM(M61+M62)</f>
        <v>0</v>
      </c>
      <c r="N60" s="224">
        <f>SUM(N61+N62)</f>
        <v>20000</v>
      </c>
      <c r="O60" s="224"/>
    </row>
    <row r="61" spans="1:15" s="51" customFormat="1" ht="17.25" customHeight="1" x14ac:dyDescent="0.2">
      <c r="A61" s="162" t="s">
        <v>37</v>
      </c>
      <c r="B61" s="128"/>
      <c r="C61" s="128" t="s">
        <v>253</v>
      </c>
      <c r="D61" s="128" t="s">
        <v>223</v>
      </c>
      <c r="E61" s="128" t="s">
        <v>225</v>
      </c>
      <c r="F61" s="128" t="s">
        <v>302</v>
      </c>
      <c r="G61" s="128" t="s">
        <v>167</v>
      </c>
      <c r="H61" s="73"/>
      <c r="I61" s="233" t="s">
        <v>264</v>
      </c>
      <c r="J61" s="73"/>
      <c r="K61" s="73"/>
      <c r="L61" s="73"/>
      <c r="M61" s="73">
        <f>SUM(J61:L61)</f>
        <v>0</v>
      </c>
      <c r="N61" s="73">
        <f>SUM(H61-M61)</f>
        <v>0</v>
      </c>
      <c r="O61" s="73"/>
    </row>
    <row r="62" spans="1:15" s="51" customFormat="1" ht="17.25" customHeight="1" x14ac:dyDescent="0.2">
      <c r="A62" s="162" t="s">
        <v>37</v>
      </c>
      <c r="B62" s="128"/>
      <c r="C62" s="128" t="s">
        <v>253</v>
      </c>
      <c r="D62" s="128" t="s">
        <v>223</v>
      </c>
      <c r="E62" s="128" t="s">
        <v>225</v>
      </c>
      <c r="F62" s="128" t="s">
        <v>302</v>
      </c>
      <c r="G62" s="128" t="s">
        <v>168</v>
      </c>
      <c r="H62" s="73">
        <v>20000</v>
      </c>
      <c r="I62" s="233" t="s">
        <v>264</v>
      </c>
      <c r="J62" s="73"/>
      <c r="K62" s="73"/>
      <c r="L62" s="73"/>
      <c r="M62" s="73">
        <f>SUM(J62:L62)</f>
        <v>0</v>
      </c>
      <c r="N62" s="73">
        <f>SUM(H62-M62)</f>
        <v>20000</v>
      </c>
      <c r="O62" s="73"/>
    </row>
    <row r="63" spans="1:15" s="51" customFormat="1" x14ac:dyDescent="0.2">
      <c r="A63" s="112" t="s">
        <v>30</v>
      </c>
      <c r="B63" s="128"/>
      <c r="C63" s="128" t="s">
        <v>253</v>
      </c>
      <c r="D63" s="128" t="s">
        <v>223</v>
      </c>
      <c r="E63" s="128" t="s">
        <v>225</v>
      </c>
      <c r="F63" s="128" t="s">
        <v>203</v>
      </c>
      <c r="G63" s="128" t="s">
        <v>171</v>
      </c>
      <c r="H63" s="73"/>
      <c r="I63" s="233" t="s">
        <v>264</v>
      </c>
      <c r="J63" s="73"/>
      <c r="K63" s="73"/>
      <c r="L63" s="73"/>
      <c r="M63" s="73">
        <f>SUM(J63:L63)</f>
        <v>0</v>
      </c>
      <c r="N63" s="73">
        <f>SUM(H63-M63)</f>
        <v>0</v>
      </c>
      <c r="O63" s="73"/>
    </row>
    <row r="64" spans="1:15" s="51" customFormat="1" x14ac:dyDescent="0.2">
      <c r="A64" s="112"/>
      <c r="B64" s="128"/>
      <c r="C64" s="128"/>
      <c r="D64" s="128"/>
      <c r="E64" s="128"/>
      <c r="F64" s="128"/>
      <c r="G64" s="128"/>
      <c r="H64" s="224">
        <f>SUM(H65)</f>
        <v>0</v>
      </c>
      <c r="I64" s="233"/>
      <c r="J64" s="224">
        <v>0</v>
      </c>
      <c r="K64" s="73"/>
      <c r="L64" s="73"/>
      <c r="M64" s="73"/>
      <c r="N64" s="73"/>
      <c r="O64" s="73"/>
    </row>
    <row r="65" spans="1:15" s="51" customFormat="1" x14ac:dyDescent="0.2">
      <c r="A65" s="112" t="s">
        <v>30</v>
      </c>
      <c r="B65" s="128"/>
      <c r="C65" s="128" t="s">
        <v>253</v>
      </c>
      <c r="D65" s="128" t="s">
        <v>297</v>
      </c>
      <c r="E65" s="128" t="s">
        <v>298</v>
      </c>
      <c r="F65" s="128" t="s">
        <v>203</v>
      </c>
      <c r="G65" s="128" t="s">
        <v>171</v>
      </c>
      <c r="H65" s="73"/>
      <c r="I65" s="233" t="s">
        <v>264</v>
      </c>
      <c r="J65" s="73"/>
      <c r="K65" s="73"/>
      <c r="L65" s="73"/>
      <c r="M65" s="73">
        <f>SUM(J65:L65)</f>
        <v>0</v>
      </c>
      <c r="N65" s="73">
        <f>SUM(H65-M65)</f>
        <v>0</v>
      </c>
      <c r="O65" s="73"/>
    </row>
    <row r="66" spans="1:15" s="68" customFormat="1" ht="15.75" x14ac:dyDescent="0.2">
      <c r="A66" s="91" t="s">
        <v>32</v>
      </c>
      <c r="B66" s="197"/>
      <c r="C66" s="197" t="s">
        <v>147</v>
      </c>
      <c r="D66" s="197" t="s">
        <v>179</v>
      </c>
      <c r="E66" s="197" t="s">
        <v>149</v>
      </c>
      <c r="F66" s="197" t="s">
        <v>147</v>
      </c>
      <c r="G66" s="197" t="s">
        <v>147</v>
      </c>
      <c r="H66" s="95">
        <f>SUM(H67+H70+H75)</f>
        <v>3364200</v>
      </c>
      <c r="I66" s="242" t="s">
        <v>264</v>
      </c>
      <c r="J66" s="95">
        <f>SUM(J67+J70+J75)</f>
        <v>307660.81</v>
      </c>
      <c r="K66" s="95">
        <f>SUM(K67+K70+K75)</f>
        <v>0</v>
      </c>
      <c r="L66" s="95">
        <f>SUM(L67+L70+L75)</f>
        <v>0</v>
      </c>
      <c r="M66" s="95">
        <f>SUM(M67+M70+M75)</f>
        <v>307660.81</v>
      </c>
      <c r="N66" s="95">
        <f>SUM(N67+N70+N75)</f>
        <v>30939.189999999977</v>
      </c>
      <c r="O66" s="95"/>
    </row>
    <row r="67" spans="1:15" s="90" customFormat="1" ht="15.75" x14ac:dyDescent="0.2">
      <c r="A67" s="222" t="s">
        <v>275</v>
      </c>
      <c r="B67" s="223"/>
      <c r="C67" s="223" t="s">
        <v>147</v>
      </c>
      <c r="D67" s="223" t="s">
        <v>255</v>
      </c>
      <c r="E67" s="223" t="s">
        <v>149</v>
      </c>
      <c r="F67" s="223" t="s">
        <v>147</v>
      </c>
      <c r="G67" s="223" t="s">
        <v>147</v>
      </c>
      <c r="H67" s="224">
        <f>SUM(H68+H69)</f>
        <v>56600</v>
      </c>
      <c r="I67" s="241" t="s">
        <v>264</v>
      </c>
      <c r="J67" s="224">
        <f>SUM(J68+J69)</f>
        <v>26468.66</v>
      </c>
      <c r="K67" s="224">
        <f>SUM(K68+K69)</f>
        <v>0</v>
      </c>
      <c r="L67" s="224">
        <f>SUM(L68+L69)</f>
        <v>0</v>
      </c>
      <c r="M67" s="224">
        <f>SUM(M68+M69)</f>
        <v>26468.66</v>
      </c>
      <c r="N67" s="224">
        <f>SUM(N68+N69)</f>
        <v>30131.34</v>
      </c>
      <c r="O67" s="224"/>
    </row>
    <row r="68" spans="1:15" s="51" customFormat="1" ht="17.25" customHeight="1" x14ac:dyDescent="0.2">
      <c r="A68" s="162" t="s">
        <v>258</v>
      </c>
      <c r="B68" s="128"/>
      <c r="C68" s="128" t="s">
        <v>253</v>
      </c>
      <c r="D68" s="128" t="s">
        <v>255</v>
      </c>
      <c r="E68" s="128" t="s">
        <v>349</v>
      </c>
      <c r="F68" s="128" t="s">
        <v>302</v>
      </c>
      <c r="G68" s="128" t="s">
        <v>168</v>
      </c>
      <c r="H68" s="73">
        <v>56600</v>
      </c>
      <c r="I68" s="233" t="s">
        <v>264</v>
      </c>
      <c r="J68" s="73">
        <f>13147.8+8901.06+4419.8</f>
        <v>26468.66</v>
      </c>
      <c r="K68" s="73"/>
      <c r="L68" s="73"/>
      <c r="M68" s="73">
        <f>SUM(J68:L68)</f>
        <v>26468.66</v>
      </c>
      <c r="N68" s="73">
        <f>SUM(H68-M68)</f>
        <v>30131.34</v>
      </c>
      <c r="O68" s="73"/>
    </row>
    <row r="69" spans="1:15" s="51" customFormat="1" x14ac:dyDescent="0.2">
      <c r="A69" s="162" t="s">
        <v>258</v>
      </c>
      <c r="B69" s="128"/>
      <c r="C69" s="128" t="s">
        <v>253</v>
      </c>
      <c r="D69" s="128" t="s">
        <v>255</v>
      </c>
      <c r="E69" s="128" t="s">
        <v>256</v>
      </c>
      <c r="F69" s="128" t="s">
        <v>257</v>
      </c>
      <c r="G69" s="128" t="s">
        <v>169</v>
      </c>
      <c r="H69" s="73"/>
      <c r="I69" s="233" t="s">
        <v>264</v>
      </c>
      <c r="J69" s="73"/>
      <c r="K69" s="73"/>
      <c r="L69" s="73"/>
      <c r="M69" s="73">
        <f>SUM(J69:L69)</f>
        <v>0</v>
      </c>
      <c r="N69" s="73">
        <f>SUM(H69-M69)</f>
        <v>0</v>
      </c>
      <c r="O69" s="73"/>
    </row>
    <row r="70" spans="1:15" s="68" customFormat="1" ht="15.75" x14ac:dyDescent="0.2">
      <c r="A70" s="111" t="s">
        <v>309</v>
      </c>
      <c r="B70" s="195"/>
      <c r="C70" s="195" t="s">
        <v>147</v>
      </c>
      <c r="D70" s="195" t="s">
        <v>310</v>
      </c>
      <c r="E70" s="195" t="s">
        <v>149</v>
      </c>
      <c r="F70" s="195" t="s">
        <v>147</v>
      </c>
      <c r="G70" s="195" t="s">
        <v>147</v>
      </c>
      <c r="H70" s="84">
        <f>SUM(H71:H74)</f>
        <v>3307600</v>
      </c>
      <c r="I70" s="240" t="s">
        <v>264</v>
      </c>
      <c r="J70" s="84">
        <f>SUM(J71:J74)</f>
        <v>281192.15000000002</v>
      </c>
      <c r="K70" s="84">
        <f>SUM(K71:K73)</f>
        <v>0</v>
      </c>
      <c r="L70" s="84">
        <f>SUM(L71:L73)</f>
        <v>0</v>
      </c>
      <c r="M70" s="84">
        <f>SUM(M71:M73)</f>
        <v>281192.15000000002</v>
      </c>
      <c r="N70" s="84">
        <f>SUM(N71:N73)</f>
        <v>807.84999999997672</v>
      </c>
      <c r="O70" s="84"/>
    </row>
    <row r="71" spans="1:15" s="51" customFormat="1" x14ac:dyDescent="0.2">
      <c r="A71" s="167" t="s">
        <v>26</v>
      </c>
      <c r="B71" s="128"/>
      <c r="C71" s="128" t="s">
        <v>253</v>
      </c>
      <c r="D71" s="128" t="s">
        <v>310</v>
      </c>
      <c r="E71" s="128" t="s">
        <v>311</v>
      </c>
      <c r="F71" s="128" t="s">
        <v>302</v>
      </c>
      <c r="G71" s="128" t="s">
        <v>167</v>
      </c>
      <c r="H71" s="73">
        <f>157150+88000+24000</f>
        <v>269150</v>
      </c>
      <c r="I71" s="233" t="s">
        <v>264</v>
      </c>
      <c r="J71" s="73">
        <f>97139+60000+49647+37513.35+24445.8</f>
        <v>268745.15000000002</v>
      </c>
      <c r="K71" s="73"/>
      <c r="L71" s="73"/>
      <c r="M71" s="73">
        <f t="shared" ref="M71:M78" si="2">SUM(J71:L71)</f>
        <v>268745.15000000002</v>
      </c>
      <c r="N71" s="73">
        <f t="shared" ref="N71:N78" si="3">SUM(H71-M71)</f>
        <v>404.84999999997672</v>
      </c>
      <c r="O71" s="73"/>
    </row>
    <row r="72" spans="1:15" s="51" customFormat="1" x14ac:dyDescent="0.2">
      <c r="A72" s="162" t="s">
        <v>258</v>
      </c>
      <c r="B72" s="128"/>
      <c r="C72" s="128" t="s">
        <v>253</v>
      </c>
      <c r="D72" s="128" t="s">
        <v>310</v>
      </c>
      <c r="E72" s="128" t="s">
        <v>311</v>
      </c>
      <c r="F72" s="128" t="s">
        <v>302</v>
      </c>
      <c r="G72" s="128" t="s">
        <v>168</v>
      </c>
      <c r="H72" s="73">
        <f>2000+3000</f>
        <v>5000</v>
      </c>
      <c r="I72" s="233"/>
      <c r="J72" s="73">
        <f>1943+3000</f>
        <v>4943</v>
      </c>
      <c r="K72" s="73"/>
      <c r="L72" s="73"/>
      <c r="M72" s="73">
        <f t="shared" si="2"/>
        <v>4943</v>
      </c>
      <c r="N72" s="73">
        <f t="shared" si="3"/>
        <v>57</v>
      </c>
      <c r="O72" s="73"/>
    </row>
    <row r="73" spans="1:15" s="51" customFormat="1" x14ac:dyDescent="0.2">
      <c r="A73" s="112" t="s">
        <v>30</v>
      </c>
      <c r="B73" s="128"/>
      <c r="C73" s="128" t="s">
        <v>253</v>
      </c>
      <c r="D73" s="128" t="s">
        <v>310</v>
      </c>
      <c r="E73" s="128" t="s">
        <v>311</v>
      </c>
      <c r="F73" s="128" t="s">
        <v>302</v>
      </c>
      <c r="G73" s="128" t="s">
        <v>171</v>
      </c>
      <c r="H73" s="73">
        <f>50000+50000-31000-7000-2000-57150+5000</f>
        <v>7850</v>
      </c>
      <c r="I73" s="233" t="s">
        <v>264</v>
      </c>
      <c r="J73" s="73">
        <f>1866+948-1866+4980+1576</f>
        <v>7504</v>
      </c>
      <c r="K73" s="73"/>
      <c r="L73" s="73"/>
      <c r="M73" s="73">
        <f t="shared" si="2"/>
        <v>7504</v>
      </c>
      <c r="N73" s="73">
        <f t="shared" si="3"/>
        <v>346</v>
      </c>
      <c r="O73" s="73"/>
    </row>
    <row r="74" spans="1:15" s="51" customFormat="1" x14ac:dyDescent="0.2">
      <c r="A74" s="167" t="s">
        <v>26</v>
      </c>
      <c r="B74" s="128"/>
      <c r="C74" s="128" t="s">
        <v>253</v>
      </c>
      <c r="D74" s="128" t="s">
        <v>310</v>
      </c>
      <c r="E74" s="128" t="s">
        <v>324</v>
      </c>
      <c r="F74" s="128" t="s">
        <v>302</v>
      </c>
      <c r="G74" s="128" t="s">
        <v>167</v>
      </c>
      <c r="H74" s="73">
        <v>3025600</v>
      </c>
      <c r="I74" s="233" t="s">
        <v>264</v>
      </c>
      <c r="J74" s="73"/>
      <c r="K74" s="73"/>
      <c r="L74" s="73"/>
      <c r="M74" s="73">
        <f t="shared" si="2"/>
        <v>0</v>
      </c>
      <c r="N74" s="73">
        <f t="shared" si="3"/>
        <v>3025600</v>
      </c>
      <c r="O74" s="73"/>
    </row>
    <row r="75" spans="1:15" s="68" customFormat="1" ht="15.75" x14ac:dyDescent="0.2">
      <c r="A75" s="127" t="s">
        <v>246</v>
      </c>
      <c r="B75" s="195"/>
      <c r="C75" s="195" t="s">
        <v>147</v>
      </c>
      <c r="D75" s="195" t="s">
        <v>245</v>
      </c>
      <c r="E75" s="195" t="s">
        <v>149</v>
      </c>
      <c r="F75" s="195" t="s">
        <v>147</v>
      </c>
      <c r="G75" s="195" t="s">
        <v>147</v>
      </c>
      <c r="H75" s="84"/>
      <c r="I75" s="240" t="s">
        <v>264</v>
      </c>
      <c r="J75" s="84"/>
      <c r="K75" s="84">
        <f>SUM(K76)</f>
        <v>0</v>
      </c>
      <c r="L75" s="84">
        <f>SUM(L76)</f>
        <v>0</v>
      </c>
      <c r="M75" s="84">
        <f t="shared" si="2"/>
        <v>0</v>
      </c>
      <c r="N75" s="84">
        <f t="shared" si="3"/>
        <v>0</v>
      </c>
      <c r="O75" s="84"/>
    </row>
    <row r="76" spans="1:15" s="51" customFormat="1" x14ac:dyDescent="0.2">
      <c r="A76" s="162" t="s">
        <v>37</v>
      </c>
      <c r="B76" s="128"/>
      <c r="C76" s="128" t="s">
        <v>253</v>
      </c>
      <c r="D76" s="128" t="s">
        <v>245</v>
      </c>
      <c r="E76" s="128" t="s">
        <v>247</v>
      </c>
      <c r="F76" s="128" t="s">
        <v>302</v>
      </c>
      <c r="G76" s="128" t="s">
        <v>168</v>
      </c>
      <c r="H76" s="73"/>
      <c r="I76" s="233" t="s">
        <v>264</v>
      </c>
      <c r="J76" s="73"/>
      <c r="K76" s="73"/>
      <c r="L76" s="73"/>
      <c r="M76" s="73">
        <f t="shared" si="2"/>
        <v>0</v>
      </c>
      <c r="N76" s="73">
        <f t="shared" si="3"/>
        <v>0</v>
      </c>
      <c r="O76" s="73"/>
    </row>
    <row r="77" spans="1:15" s="51" customFormat="1" x14ac:dyDescent="0.2">
      <c r="A77" s="162" t="s">
        <v>37</v>
      </c>
      <c r="B77" s="128"/>
      <c r="C77" s="128" t="s">
        <v>253</v>
      </c>
      <c r="D77" s="128" t="s">
        <v>245</v>
      </c>
      <c r="E77" s="128" t="s">
        <v>325</v>
      </c>
      <c r="F77" s="128" t="s">
        <v>302</v>
      </c>
      <c r="G77" s="128" t="s">
        <v>168</v>
      </c>
      <c r="H77" s="73"/>
      <c r="I77" s="233" t="s">
        <v>264</v>
      </c>
      <c r="J77" s="73"/>
      <c r="K77" s="73"/>
      <c r="L77" s="73"/>
      <c r="M77" s="73">
        <f>SUM(J77:L77)</f>
        <v>0</v>
      </c>
      <c r="N77" s="73">
        <f>SUM(H77-M77)</f>
        <v>0</v>
      </c>
      <c r="O77" s="73"/>
    </row>
    <row r="78" spans="1:15" s="68" customFormat="1" ht="15.75" x14ac:dyDescent="0.2">
      <c r="A78" s="91" t="s">
        <v>34</v>
      </c>
      <c r="B78" s="197"/>
      <c r="C78" s="197" t="s">
        <v>147</v>
      </c>
      <c r="D78" s="197" t="s">
        <v>182</v>
      </c>
      <c r="E78" s="197" t="s">
        <v>149</v>
      </c>
      <c r="F78" s="197" t="s">
        <v>147</v>
      </c>
      <c r="G78" s="197" t="s">
        <v>147</v>
      </c>
      <c r="H78" s="95">
        <f>SUM(H79+H84+H94+H115)</f>
        <v>1597700</v>
      </c>
      <c r="I78" s="242" t="s">
        <v>264</v>
      </c>
      <c r="J78" s="95">
        <f>SUM(J79+J84+J94+J115)</f>
        <v>842277.82000000007</v>
      </c>
      <c r="K78" s="95">
        <f>SUM(K79+K84+K94)</f>
        <v>0</v>
      </c>
      <c r="L78" s="95">
        <f>SUM(L79+L84+L94)</f>
        <v>0</v>
      </c>
      <c r="M78" s="95">
        <f t="shared" si="2"/>
        <v>842277.82000000007</v>
      </c>
      <c r="N78" s="95">
        <f t="shared" si="3"/>
        <v>755422.17999999993</v>
      </c>
      <c r="O78" s="95"/>
    </row>
    <row r="79" spans="1:15" s="68" customFormat="1" ht="15.75" x14ac:dyDescent="0.2">
      <c r="A79" s="127" t="s">
        <v>35</v>
      </c>
      <c r="B79" s="195"/>
      <c r="C79" s="195" t="s">
        <v>147</v>
      </c>
      <c r="D79" s="195" t="s">
        <v>183</v>
      </c>
      <c r="E79" s="195" t="s">
        <v>149</v>
      </c>
      <c r="F79" s="195" t="s">
        <v>147</v>
      </c>
      <c r="G79" s="195" t="s">
        <v>147</v>
      </c>
      <c r="H79" s="84">
        <f>SUM(H80:H83)</f>
        <v>0</v>
      </c>
      <c r="I79" s="240" t="s">
        <v>264</v>
      </c>
      <c r="J79" s="84">
        <v>0</v>
      </c>
      <c r="K79" s="84">
        <f>SUM(K80:K83)</f>
        <v>0</v>
      </c>
      <c r="L79" s="84">
        <f>SUM(L80:L83)</f>
        <v>0</v>
      </c>
      <c r="M79" s="84">
        <f>SUM(M80:M83)</f>
        <v>0</v>
      </c>
      <c r="N79" s="84">
        <f>SUM(N80:N83)</f>
        <v>0</v>
      </c>
      <c r="O79" s="84"/>
    </row>
    <row r="80" spans="1:15" s="51" customFormat="1" ht="28.5" x14ac:dyDescent="0.2">
      <c r="A80" s="167" t="s">
        <v>33</v>
      </c>
      <c r="B80" s="128"/>
      <c r="C80" s="128" t="s">
        <v>253</v>
      </c>
      <c r="D80" s="128" t="s">
        <v>183</v>
      </c>
      <c r="E80" s="128" t="s">
        <v>184</v>
      </c>
      <c r="F80" s="128" t="s">
        <v>180</v>
      </c>
      <c r="G80" s="128" t="s">
        <v>185</v>
      </c>
      <c r="H80" s="73"/>
      <c r="I80" s="233" t="s">
        <v>264</v>
      </c>
      <c r="J80" s="73"/>
      <c r="K80" s="73"/>
      <c r="L80" s="73"/>
      <c r="M80" s="73">
        <f t="shared" ref="M80:M87" si="4">SUM(J80:L80)</f>
        <v>0</v>
      </c>
      <c r="N80" s="73">
        <f t="shared" ref="N80:N88" si="5">SUM(H80-M80)</f>
        <v>0</v>
      </c>
      <c r="O80" s="73"/>
    </row>
    <row r="81" spans="1:15" s="51" customFormat="1" ht="28.5" x14ac:dyDescent="0.2">
      <c r="A81" s="167" t="s">
        <v>235</v>
      </c>
      <c r="B81" s="128"/>
      <c r="C81" s="128" t="s">
        <v>253</v>
      </c>
      <c r="D81" s="128" t="s">
        <v>183</v>
      </c>
      <c r="E81" s="128" t="s">
        <v>186</v>
      </c>
      <c r="F81" s="128" t="s">
        <v>180</v>
      </c>
      <c r="G81" s="128" t="s">
        <v>185</v>
      </c>
      <c r="H81" s="73"/>
      <c r="I81" s="233" t="s">
        <v>264</v>
      </c>
      <c r="J81" s="73"/>
      <c r="K81" s="73"/>
      <c r="L81" s="73"/>
      <c r="M81" s="73">
        <f t="shared" si="4"/>
        <v>0</v>
      </c>
      <c r="N81" s="73">
        <f t="shared" si="5"/>
        <v>0</v>
      </c>
      <c r="O81" s="73"/>
    </row>
    <row r="82" spans="1:15" s="51" customFormat="1" x14ac:dyDescent="0.2">
      <c r="A82" s="162" t="s">
        <v>26</v>
      </c>
      <c r="B82" s="128"/>
      <c r="C82" s="128" t="s">
        <v>253</v>
      </c>
      <c r="D82" s="128" t="s">
        <v>183</v>
      </c>
      <c r="E82" s="128" t="s">
        <v>236</v>
      </c>
      <c r="F82" s="128" t="s">
        <v>81</v>
      </c>
      <c r="G82" s="128" t="s">
        <v>167</v>
      </c>
      <c r="H82" s="73"/>
      <c r="I82" s="233" t="s">
        <v>264</v>
      </c>
      <c r="J82" s="73"/>
      <c r="K82" s="73"/>
      <c r="L82" s="73"/>
      <c r="M82" s="73">
        <f t="shared" si="4"/>
        <v>0</v>
      </c>
      <c r="N82" s="73">
        <f t="shared" si="5"/>
        <v>0</v>
      </c>
      <c r="O82" s="73"/>
    </row>
    <row r="83" spans="1:15" s="51" customFormat="1" x14ac:dyDescent="0.2">
      <c r="A83" s="162" t="s">
        <v>37</v>
      </c>
      <c r="B83" s="128"/>
      <c r="C83" s="128" t="s">
        <v>253</v>
      </c>
      <c r="D83" s="128" t="s">
        <v>183</v>
      </c>
      <c r="E83" s="128" t="s">
        <v>236</v>
      </c>
      <c r="F83" s="128" t="s">
        <v>81</v>
      </c>
      <c r="G83" s="128" t="s">
        <v>168</v>
      </c>
      <c r="H83" s="73"/>
      <c r="I83" s="233" t="s">
        <v>264</v>
      </c>
      <c r="J83" s="73"/>
      <c r="K83" s="73"/>
      <c r="L83" s="73"/>
      <c r="M83" s="73">
        <f t="shared" si="4"/>
        <v>0</v>
      </c>
      <c r="N83" s="73">
        <f t="shared" si="5"/>
        <v>0</v>
      </c>
      <c r="O83" s="73"/>
    </row>
    <row r="84" spans="1:15" s="68" customFormat="1" ht="15.75" x14ac:dyDescent="0.2">
      <c r="A84" s="127" t="s">
        <v>36</v>
      </c>
      <c r="B84" s="195"/>
      <c r="C84" s="195" t="s">
        <v>147</v>
      </c>
      <c r="D84" s="195" t="s">
        <v>187</v>
      </c>
      <c r="E84" s="195" t="s">
        <v>149</v>
      </c>
      <c r="F84" s="195" t="s">
        <v>147</v>
      </c>
      <c r="G84" s="195" t="s">
        <v>147</v>
      </c>
      <c r="H84" s="84">
        <f>SUM(H85:H93)</f>
        <v>108000</v>
      </c>
      <c r="I84" s="240" t="s">
        <v>264</v>
      </c>
      <c r="J84" s="84">
        <f>SUM(J85:J93)</f>
        <v>105962.5</v>
      </c>
      <c r="K84" s="84">
        <f>SUM(K85:K92)</f>
        <v>0</v>
      </c>
      <c r="L84" s="84">
        <f>SUM(L85:L92)</f>
        <v>0</v>
      </c>
      <c r="M84" s="84">
        <f t="shared" si="4"/>
        <v>105962.5</v>
      </c>
      <c r="N84" s="84">
        <f t="shared" si="5"/>
        <v>2037.5</v>
      </c>
      <c r="O84" s="84"/>
    </row>
    <row r="85" spans="1:15" s="51" customFormat="1" ht="28.5" x14ac:dyDescent="0.2">
      <c r="A85" s="167" t="s">
        <v>33</v>
      </c>
      <c r="B85" s="128"/>
      <c r="C85" s="128" t="s">
        <v>253</v>
      </c>
      <c r="D85" s="128" t="s">
        <v>187</v>
      </c>
      <c r="E85" s="128" t="s">
        <v>188</v>
      </c>
      <c r="F85" s="128" t="s">
        <v>180</v>
      </c>
      <c r="G85" s="128" t="s">
        <v>185</v>
      </c>
      <c r="H85" s="73"/>
      <c r="I85" s="233" t="s">
        <v>264</v>
      </c>
      <c r="J85" s="73"/>
      <c r="K85" s="73"/>
      <c r="L85" s="73"/>
      <c r="M85" s="73">
        <f t="shared" si="4"/>
        <v>0</v>
      </c>
      <c r="N85" s="73">
        <f t="shared" si="5"/>
        <v>0</v>
      </c>
      <c r="O85" s="73"/>
    </row>
    <row r="86" spans="1:15" s="51" customFormat="1" ht="28.5" x14ac:dyDescent="0.2">
      <c r="A86" s="167" t="s">
        <v>33</v>
      </c>
      <c r="B86" s="128"/>
      <c r="C86" s="128" t="s">
        <v>253</v>
      </c>
      <c r="D86" s="128" t="s">
        <v>187</v>
      </c>
      <c r="E86" s="128" t="s">
        <v>189</v>
      </c>
      <c r="F86" s="128" t="s">
        <v>180</v>
      </c>
      <c r="G86" s="128" t="s">
        <v>181</v>
      </c>
      <c r="I86" s="233" t="s">
        <v>264</v>
      </c>
      <c r="J86" s="246"/>
      <c r="K86" s="73"/>
      <c r="L86" s="73"/>
      <c r="M86" s="73">
        <f t="shared" si="4"/>
        <v>0</v>
      </c>
      <c r="N86" s="73">
        <f t="shared" si="5"/>
        <v>0</v>
      </c>
      <c r="O86" s="73"/>
    </row>
    <row r="87" spans="1:15" s="51" customFormat="1" ht="28.5" x14ac:dyDescent="0.2">
      <c r="A87" s="167" t="s">
        <v>33</v>
      </c>
      <c r="B87" s="128"/>
      <c r="C87" s="128" t="s">
        <v>253</v>
      </c>
      <c r="D87" s="128" t="s">
        <v>187</v>
      </c>
      <c r="E87" s="128" t="s">
        <v>190</v>
      </c>
      <c r="F87" s="128" t="s">
        <v>180</v>
      </c>
      <c r="G87" s="128" t="s">
        <v>185</v>
      </c>
      <c r="H87" s="73"/>
      <c r="I87" s="233" t="s">
        <v>264</v>
      </c>
      <c r="J87" s="246"/>
      <c r="K87" s="73"/>
      <c r="L87" s="73"/>
      <c r="M87" s="73">
        <f t="shared" si="4"/>
        <v>0</v>
      </c>
      <c r="N87" s="73">
        <f t="shared" si="5"/>
        <v>0</v>
      </c>
      <c r="O87" s="73"/>
    </row>
    <row r="88" spans="1:15" s="51" customFormat="1" x14ac:dyDescent="0.2">
      <c r="A88" s="162" t="s">
        <v>26</v>
      </c>
      <c r="B88" s="128"/>
      <c r="C88" s="128" t="s">
        <v>253</v>
      </c>
      <c r="D88" s="128" t="s">
        <v>187</v>
      </c>
      <c r="E88" s="128" t="s">
        <v>190</v>
      </c>
      <c r="F88" s="128" t="s">
        <v>301</v>
      </c>
      <c r="G88" s="128" t="s">
        <v>167</v>
      </c>
      <c r="H88" s="73"/>
      <c r="I88" s="233" t="s">
        <v>264</v>
      </c>
      <c r="J88" s="246"/>
      <c r="K88" s="73"/>
      <c r="L88" s="73"/>
      <c r="M88" s="73"/>
      <c r="N88" s="73">
        <f t="shared" si="5"/>
        <v>0</v>
      </c>
      <c r="O88" s="73"/>
    </row>
    <row r="89" spans="1:15" s="51" customFormat="1" x14ac:dyDescent="0.2">
      <c r="A89" s="162" t="s">
        <v>26</v>
      </c>
      <c r="B89" s="128"/>
      <c r="C89" s="128" t="s">
        <v>253</v>
      </c>
      <c r="D89" s="128" t="s">
        <v>187</v>
      </c>
      <c r="E89" s="128" t="s">
        <v>190</v>
      </c>
      <c r="F89" s="128" t="s">
        <v>302</v>
      </c>
      <c r="G89" s="128" t="s">
        <v>167</v>
      </c>
      <c r="H89" s="73"/>
      <c r="I89" s="233" t="s">
        <v>264</v>
      </c>
      <c r="J89" s="246"/>
      <c r="K89" s="73"/>
      <c r="L89" s="73"/>
      <c r="M89" s="73">
        <f>SUM(J89:L89)</f>
        <v>0</v>
      </c>
      <c r="N89" s="73">
        <f>SUM(H89-M89)</f>
        <v>0</v>
      </c>
      <c r="O89" s="73"/>
    </row>
    <row r="90" spans="1:15" s="51" customFormat="1" x14ac:dyDescent="0.2">
      <c r="A90" s="162" t="s">
        <v>26</v>
      </c>
      <c r="B90" s="128"/>
      <c r="C90" s="128" t="s">
        <v>253</v>
      </c>
      <c r="D90" s="128" t="s">
        <v>187</v>
      </c>
      <c r="E90" s="128" t="s">
        <v>190</v>
      </c>
      <c r="F90" s="128" t="s">
        <v>301</v>
      </c>
      <c r="G90" s="128" t="s">
        <v>167</v>
      </c>
      <c r="H90" s="73">
        <f>50000+2000+10000</f>
        <v>62000</v>
      </c>
      <c r="I90" s="233" t="s">
        <v>264</v>
      </c>
      <c r="J90" s="246">
        <f>13932.5+28057+9114+3024+6090</f>
        <v>60217.5</v>
      </c>
      <c r="K90" s="73"/>
      <c r="L90" s="73"/>
      <c r="M90" s="73">
        <f>SUM(J90:L90)</f>
        <v>60217.5</v>
      </c>
      <c r="N90" s="73">
        <f>SUM(H90-M90)</f>
        <v>1782.5</v>
      </c>
      <c r="O90" s="73"/>
    </row>
    <row r="91" spans="1:15" s="51" customFormat="1" x14ac:dyDescent="0.2">
      <c r="A91" s="162" t="s">
        <v>37</v>
      </c>
      <c r="B91" s="128"/>
      <c r="C91" s="128" t="s">
        <v>253</v>
      </c>
      <c r="D91" s="128" t="s">
        <v>187</v>
      </c>
      <c r="E91" s="128" t="s">
        <v>190</v>
      </c>
      <c r="F91" s="128" t="s">
        <v>301</v>
      </c>
      <c r="G91" s="128" t="s">
        <v>168</v>
      </c>
      <c r="H91" s="73">
        <f>300000+100000-400000</f>
        <v>0</v>
      </c>
      <c r="I91" s="233" t="s">
        <v>264</v>
      </c>
      <c r="J91" s="246"/>
      <c r="K91" s="73"/>
      <c r="L91" s="73"/>
      <c r="M91" s="73">
        <f t="shared" ref="M91:M107" si="6">SUM(J91:L91)</f>
        <v>0</v>
      </c>
      <c r="N91" s="73">
        <f t="shared" ref="N91:N107" si="7">SUM(H91-M91)</f>
        <v>0</v>
      </c>
      <c r="O91" s="73"/>
    </row>
    <row r="92" spans="1:15" s="51" customFormat="1" x14ac:dyDescent="0.2">
      <c r="A92" s="167" t="s">
        <v>38</v>
      </c>
      <c r="B92" s="128"/>
      <c r="C92" s="128" t="s">
        <v>253</v>
      </c>
      <c r="D92" s="128" t="s">
        <v>187</v>
      </c>
      <c r="E92" s="128" t="s">
        <v>190</v>
      </c>
      <c r="F92" s="128" t="s">
        <v>301</v>
      </c>
      <c r="G92" s="128" t="s">
        <v>170</v>
      </c>
      <c r="H92" s="73"/>
      <c r="I92" s="233" t="s">
        <v>264</v>
      </c>
      <c r="J92" s="246"/>
      <c r="K92" s="73"/>
      <c r="L92" s="73"/>
      <c r="M92" s="73">
        <f t="shared" si="6"/>
        <v>0</v>
      </c>
      <c r="N92" s="73">
        <f t="shared" si="7"/>
        <v>0</v>
      </c>
      <c r="O92" s="73"/>
    </row>
    <row r="93" spans="1:15" s="51" customFormat="1" x14ac:dyDescent="0.2">
      <c r="A93" s="167" t="s">
        <v>30</v>
      </c>
      <c r="B93" s="128"/>
      <c r="C93" s="128" t="s">
        <v>253</v>
      </c>
      <c r="D93" s="128" t="s">
        <v>187</v>
      </c>
      <c r="E93" s="128" t="s">
        <v>190</v>
      </c>
      <c r="F93" s="128" t="s">
        <v>301</v>
      </c>
      <c r="G93" s="128" t="s">
        <v>171</v>
      </c>
      <c r="H93" s="73">
        <f>50000-10000+6000</f>
        <v>46000</v>
      </c>
      <c r="I93" s="233" t="s">
        <v>264</v>
      </c>
      <c r="J93" s="246">
        <f>933+2844+1866+30102+10000</f>
        <v>45745</v>
      </c>
      <c r="K93" s="73"/>
      <c r="L93" s="73"/>
      <c r="M93" s="73">
        <f>SUM(J93:L93)</f>
        <v>45745</v>
      </c>
      <c r="N93" s="73">
        <f>SUM(H93-M93)</f>
        <v>255</v>
      </c>
      <c r="O93" s="73"/>
    </row>
    <row r="94" spans="1:15" s="68" customFormat="1" ht="15.75" x14ac:dyDescent="0.2">
      <c r="A94" s="129" t="s">
        <v>39</v>
      </c>
      <c r="B94" s="195"/>
      <c r="C94" s="195" t="s">
        <v>147</v>
      </c>
      <c r="D94" s="195" t="s">
        <v>191</v>
      </c>
      <c r="E94" s="195" t="s">
        <v>149</v>
      </c>
      <c r="F94" s="195" t="s">
        <v>147</v>
      </c>
      <c r="G94" s="195" t="s">
        <v>147</v>
      </c>
      <c r="H94" s="44">
        <f>SUM(H95+H101+H105+H110)</f>
        <v>1486700</v>
      </c>
      <c r="I94" s="232" t="s">
        <v>264</v>
      </c>
      <c r="J94" s="44">
        <f>SUM(J95+J101+J105+J110)</f>
        <v>733315.32000000007</v>
      </c>
      <c r="K94" s="44">
        <f>SUM(K95+K101+K105+K110)</f>
        <v>0</v>
      </c>
      <c r="L94" s="44">
        <f>SUM(L95+L101+L105+L110)</f>
        <v>0</v>
      </c>
      <c r="M94" s="84">
        <f t="shared" si="6"/>
        <v>733315.32000000007</v>
      </c>
      <c r="N94" s="84">
        <f t="shared" si="7"/>
        <v>753384.67999999993</v>
      </c>
      <c r="O94" s="84"/>
    </row>
    <row r="95" spans="1:15" s="68" customFormat="1" ht="15.75" x14ac:dyDescent="0.2">
      <c r="A95" s="127" t="s">
        <v>40</v>
      </c>
      <c r="B95" s="196"/>
      <c r="C95" s="125" t="s">
        <v>147</v>
      </c>
      <c r="D95" s="125" t="s">
        <v>191</v>
      </c>
      <c r="E95" s="125" t="s">
        <v>192</v>
      </c>
      <c r="F95" s="125" t="s">
        <v>147</v>
      </c>
      <c r="G95" s="125" t="s">
        <v>147</v>
      </c>
      <c r="H95" s="44">
        <f>SUM(H96:H100)</f>
        <v>455500</v>
      </c>
      <c r="I95" s="232" t="s">
        <v>264</v>
      </c>
      <c r="J95" s="44">
        <f>SUM(J96:J100)</f>
        <v>115377.53</v>
      </c>
      <c r="K95" s="44">
        <f>SUM(K96:K100)</f>
        <v>0</v>
      </c>
      <c r="L95" s="44">
        <f>SUM(L96:L100)</f>
        <v>0</v>
      </c>
      <c r="M95" s="84">
        <f t="shared" si="6"/>
        <v>115377.53</v>
      </c>
      <c r="N95" s="84">
        <f t="shared" si="7"/>
        <v>340122.47</v>
      </c>
      <c r="O95" s="84"/>
    </row>
    <row r="96" spans="1:15" s="51" customFormat="1" x14ac:dyDescent="0.2">
      <c r="A96" s="162" t="s">
        <v>37</v>
      </c>
      <c r="B96" s="128"/>
      <c r="C96" s="128" t="s">
        <v>253</v>
      </c>
      <c r="D96" s="128" t="s">
        <v>191</v>
      </c>
      <c r="E96" s="128" t="s">
        <v>193</v>
      </c>
      <c r="F96" s="128" t="s">
        <v>302</v>
      </c>
      <c r="G96" s="128" t="s">
        <v>166</v>
      </c>
      <c r="H96" s="73">
        <v>250000</v>
      </c>
      <c r="I96" s="233" t="s">
        <v>264</v>
      </c>
      <c r="J96" s="246">
        <f>32448.69+9219.48+8114.1+7318.73+6535.07</f>
        <v>63636.07</v>
      </c>
      <c r="K96" s="73"/>
      <c r="L96" s="73"/>
      <c r="M96" s="73">
        <f t="shared" si="6"/>
        <v>63636.07</v>
      </c>
      <c r="N96" s="73">
        <f t="shared" si="7"/>
        <v>186363.93</v>
      </c>
      <c r="O96" s="73"/>
    </row>
    <row r="97" spans="1:15" s="51" customFormat="1" x14ac:dyDescent="0.2">
      <c r="A97" s="162" t="s">
        <v>44</v>
      </c>
      <c r="B97" s="128"/>
      <c r="C97" s="128" t="s">
        <v>253</v>
      </c>
      <c r="D97" s="128" t="s">
        <v>191</v>
      </c>
      <c r="E97" s="128" t="s">
        <v>193</v>
      </c>
      <c r="F97" s="128" t="s">
        <v>81</v>
      </c>
      <c r="G97" s="128" t="s">
        <v>167</v>
      </c>
      <c r="H97" s="73">
        <v>100000</v>
      </c>
      <c r="I97" s="233" t="s">
        <v>264</v>
      </c>
      <c r="J97" s="246">
        <f>27107.64+2248.92+4528+2248.9+4528</f>
        <v>40661.46</v>
      </c>
      <c r="K97" s="73"/>
      <c r="L97" s="73"/>
      <c r="M97" s="73">
        <f>SUM(J97:L97)</f>
        <v>40661.46</v>
      </c>
      <c r="N97" s="73">
        <f>SUM(H97-M97)</f>
        <v>59338.54</v>
      </c>
      <c r="O97" s="73"/>
    </row>
    <row r="98" spans="1:15" s="51" customFormat="1" x14ac:dyDescent="0.2">
      <c r="A98" s="112" t="s">
        <v>37</v>
      </c>
      <c r="B98" s="128"/>
      <c r="C98" s="128" t="s">
        <v>253</v>
      </c>
      <c r="D98" s="128" t="s">
        <v>191</v>
      </c>
      <c r="E98" s="128" t="s">
        <v>193</v>
      </c>
      <c r="F98" s="128" t="s">
        <v>302</v>
      </c>
      <c r="G98" s="128" t="s">
        <v>168</v>
      </c>
      <c r="H98" s="73">
        <f>5500</f>
        <v>5500</v>
      </c>
      <c r="I98" s="233" t="s">
        <v>264</v>
      </c>
      <c r="J98" s="246">
        <f>5500</f>
        <v>5500</v>
      </c>
      <c r="K98" s="73"/>
      <c r="L98" s="73"/>
      <c r="M98" s="73">
        <f>SUM(J98:L98)</f>
        <v>5500</v>
      </c>
      <c r="N98" s="73">
        <f>SUM(H98-M98)</f>
        <v>0</v>
      </c>
      <c r="O98" s="73"/>
    </row>
    <row r="99" spans="1:15" s="51" customFormat="1" x14ac:dyDescent="0.2">
      <c r="A99" s="162" t="s">
        <v>29</v>
      </c>
      <c r="B99" s="128"/>
      <c r="C99" s="128" t="s">
        <v>253</v>
      </c>
      <c r="D99" s="128" t="s">
        <v>191</v>
      </c>
      <c r="E99" s="128" t="s">
        <v>193</v>
      </c>
      <c r="F99" s="128" t="s">
        <v>81</v>
      </c>
      <c r="G99" s="128" t="s">
        <v>170</v>
      </c>
      <c r="H99" s="73"/>
      <c r="I99" s="233" t="s">
        <v>264</v>
      </c>
      <c r="J99" s="73"/>
      <c r="K99" s="73"/>
      <c r="L99" s="73"/>
      <c r="M99" s="73">
        <f t="shared" si="6"/>
        <v>0</v>
      </c>
      <c r="N99" s="73">
        <f t="shared" si="7"/>
        <v>0</v>
      </c>
      <c r="O99" s="73"/>
    </row>
    <row r="100" spans="1:15" s="51" customFormat="1" x14ac:dyDescent="0.2">
      <c r="A100" s="162" t="s">
        <v>30</v>
      </c>
      <c r="B100" s="128"/>
      <c r="C100" s="128" t="s">
        <v>253</v>
      </c>
      <c r="D100" s="128" t="s">
        <v>191</v>
      </c>
      <c r="E100" s="128" t="s">
        <v>193</v>
      </c>
      <c r="F100" s="128" t="s">
        <v>302</v>
      </c>
      <c r="G100" s="128" t="s">
        <v>171</v>
      </c>
      <c r="H100" s="73">
        <v>100000</v>
      </c>
      <c r="I100" s="233" t="s">
        <v>264</v>
      </c>
      <c r="J100" s="73">
        <f>1792+3788</f>
        <v>5580</v>
      </c>
      <c r="K100" s="73"/>
      <c r="L100" s="73"/>
      <c r="M100" s="73">
        <f t="shared" si="6"/>
        <v>5580</v>
      </c>
      <c r="N100" s="73">
        <f t="shared" si="7"/>
        <v>94420</v>
      </c>
      <c r="O100" s="73"/>
    </row>
    <row r="101" spans="1:15" s="68" customFormat="1" ht="15.75" x14ac:dyDescent="0.2">
      <c r="A101" s="111" t="s">
        <v>41</v>
      </c>
      <c r="B101" s="196"/>
      <c r="C101" s="125" t="s">
        <v>147</v>
      </c>
      <c r="D101" s="125" t="s">
        <v>191</v>
      </c>
      <c r="E101" s="125" t="s">
        <v>194</v>
      </c>
      <c r="F101" s="125" t="s">
        <v>147</v>
      </c>
      <c r="G101" s="125" t="s">
        <v>147</v>
      </c>
      <c r="H101" s="44">
        <f>SUM(H102:H104)</f>
        <v>0</v>
      </c>
      <c r="I101" s="232" t="s">
        <v>264</v>
      </c>
      <c r="J101" s="44">
        <f>SUM(J102:J104)</f>
        <v>0</v>
      </c>
      <c r="K101" s="44">
        <f>SUM(K102:K104)</f>
        <v>0</v>
      </c>
      <c r="L101" s="44">
        <f>SUM(L102:L104)</f>
        <v>0</v>
      </c>
      <c r="M101" s="84">
        <f t="shared" si="6"/>
        <v>0</v>
      </c>
      <c r="N101" s="84">
        <f t="shared" si="7"/>
        <v>0</v>
      </c>
      <c r="O101" s="84"/>
    </row>
    <row r="102" spans="1:15" s="51" customFormat="1" x14ac:dyDescent="0.2">
      <c r="A102" s="162" t="s">
        <v>44</v>
      </c>
      <c r="B102" s="128"/>
      <c r="C102" s="128" t="s">
        <v>253</v>
      </c>
      <c r="D102" s="128" t="s">
        <v>191</v>
      </c>
      <c r="E102" s="128" t="s">
        <v>195</v>
      </c>
      <c r="F102" s="128" t="s">
        <v>81</v>
      </c>
      <c r="G102" s="128" t="s">
        <v>167</v>
      </c>
      <c r="H102" s="73"/>
      <c r="I102" s="233" t="s">
        <v>264</v>
      </c>
      <c r="J102" s="246"/>
      <c r="K102" s="73"/>
      <c r="L102" s="73"/>
      <c r="M102" s="73">
        <f t="shared" si="6"/>
        <v>0</v>
      </c>
      <c r="N102" s="73">
        <f t="shared" si="7"/>
        <v>0</v>
      </c>
      <c r="O102" s="73"/>
    </row>
    <row r="103" spans="1:15" s="51" customFormat="1" x14ac:dyDescent="0.2">
      <c r="A103" s="162" t="s">
        <v>30</v>
      </c>
      <c r="B103" s="128"/>
      <c r="C103" s="128" t="s">
        <v>253</v>
      </c>
      <c r="D103" s="128" t="s">
        <v>191</v>
      </c>
      <c r="E103" s="128" t="s">
        <v>195</v>
      </c>
      <c r="F103" s="128" t="s">
        <v>81</v>
      </c>
      <c r="G103" s="128" t="s">
        <v>171</v>
      </c>
      <c r="H103" s="73"/>
      <c r="I103" s="233" t="s">
        <v>264</v>
      </c>
      <c r="J103" s="246"/>
      <c r="K103" s="73"/>
      <c r="L103" s="73" t="s">
        <v>318</v>
      </c>
      <c r="M103" s="73">
        <f t="shared" si="6"/>
        <v>0</v>
      </c>
      <c r="N103" s="73">
        <f t="shared" si="7"/>
        <v>0</v>
      </c>
      <c r="O103" s="73"/>
    </row>
    <row r="104" spans="1:15" s="51" customFormat="1" x14ac:dyDescent="0.2">
      <c r="A104" s="167" t="s">
        <v>38</v>
      </c>
      <c r="B104" s="128"/>
      <c r="C104" s="128" t="s">
        <v>253</v>
      </c>
      <c r="D104" s="128" t="s">
        <v>191</v>
      </c>
      <c r="E104" s="128" t="s">
        <v>195</v>
      </c>
      <c r="F104" s="128" t="s">
        <v>81</v>
      </c>
      <c r="G104" s="128" t="s">
        <v>170</v>
      </c>
      <c r="H104" s="73"/>
      <c r="I104" s="233" t="s">
        <v>264</v>
      </c>
      <c r="J104" s="73"/>
      <c r="K104" s="73"/>
      <c r="L104" s="73"/>
      <c r="M104" s="73">
        <f t="shared" si="6"/>
        <v>0</v>
      </c>
      <c r="N104" s="73">
        <f t="shared" si="7"/>
        <v>0</v>
      </c>
      <c r="O104" s="73"/>
    </row>
    <row r="105" spans="1:15" s="68" customFormat="1" ht="21.75" customHeight="1" x14ac:dyDescent="0.2">
      <c r="A105" s="111" t="s">
        <v>42</v>
      </c>
      <c r="B105" s="196"/>
      <c r="C105" s="125" t="s">
        <v>147</v>
      </c>
      <c r="D105" s="125" t="s">
        <v>191</v>
      </c>
      <c r="E105" s="125" t="s">
        <v>196</v>
      </c>
      <c r="F105" s="125" t="s">
        <v>147</v>
      </c>
      <c r="G105" s="125" t="s">
        <v>147</v>
      </c>
      <c r="H105" s="44">
        <f>SUM(H106+H107+H108+H109)</f>
        <v>124800</v>
      </c>
      <c r="I105" s="232" t="s">
        <v>264</v>
      </c>
      <c r="J105" s="44">
        <f>SUM(J106+J107+J108+J109)</f>
        <v>114364</v>
      </c>
      <c r="K105" s="44">
        <f>SUM(K106+K107+K108+K109)</f>
        <v>0</v>
      </c>
      <c r="L105" s="44">
        <f>SUM(L106+L107+L108+L109)</f>
        <v>0</v>
      </c>
      <c r="M105" s="84">
        <f t="shared" si="6"/>
        <v>114364</v>
      </c>
      <c r="N105" s="84">
        <f t="shared" si="7"/>
        <v>10436</v>
      </c>
      <c r="O105" s="84"/>
    </row>
    <row r="106" spans="1:15" s="51" customFormat="1" x14ac:dyDescent="0.2">
      <c r="A106" s="162" t="s">
        <v>44</v>
      </c>
      <c r="B106" s="128"/>
      <c r="C106" s="128" t="s">
        <v>253</v>
      </c>
      <c r="D106" s="128" t="s">
        <v>191</v>
      </c>
      <c r="E106" s="128" t="s">
        <v>197</v>
      </c>
      <c r="F106" s="128" t="s">
        <v>81</v>
      </c>
      <c r="G106" s="128" t="s">
        <v>167</v>
      </c>
      <c r="H106" s="73">
        <f>60000-60000</f>
        <v>0</v>
      </c>
      <c r="I106" s="233" t="s">
        <v>264</v>
      </c>
      <c r="J106" s="73"/>
      <c r="K106" s="73"/>
      <c r="L106" s="73"/>
      <c r="M106" s="73">
        <f t="shared" si="6"/>
        <v>0</v>
      </c>
      <c r="N106" s="73">
        <f t="shared" si="7"/>
        <v>0</v>
      </c>
      <c r="O106" s="73"/>
    </row>
    <row r="107" spans="1:15" s="51" customFormat="1" x14ac:dyDescent="0.2">
      <c r="A107" s="162" t="s">
        <v>37</v>
      </c>
      <c r="B107" s="128"/>
      <c r="C107" s="128" t="s">
        <v>253</v>
      </c>
      <c r="D107" s="128" t="s">
        <v>191</v>
      </c>
      <c r="E107" s="128" t="s">
        <v>197</v>
      </c>
      <c r="F107" s="128" t="s">
        <v>302</v>
      </c>
      <c r="G107" s="128" t="s">
        <v>168</v>
      </c>
      <c r="H107" s="73">
        <f>20000+100000</f>
        <v>120000</v>
      </c>
      <c r="I107" s="233" t="s">
        <v>264</v>
      </c>
      <c r="J107" s="246">
        <f>5313.5+1522+1880+94013+2279.5-1+756.5+1522+756.5+1522</f>
        <v>109564</v>
      </c>
      <c r="K107" s="73"/>
      <c r="L107" s="73"/>
      <c r="M107" s="73">
        <f t="shared" si="6"/>
        <v>109564</v>
      </c>
      <c r="N107" s="73">
        <f t="shared" si="7"/>
        <v>10436</v>
      </c>
      <c r="O107" s="73"/>
    </row>
    <row r="108" spans="1:15" s="51" customFormat="1" x14ac:dyDescent="0.2">
      <c r="A108" s="162" t="s">
        <v>29</v>
      </c>
      <c r="B108" s="128"/>
      <c r="C108" s="128" t="s">
        <v>253</v>
      </c>
      <c r="D108" s="128" t="s">
        <v>191</v>
      </c>
      <c r="E108" s="128" t="s">
        <v>197</v>
      </c>
      <c r="F108" s="128" t="s">
        <v>81</v>
      </c>
      <c r="G108" s="128" t="s">
        <v>170</v>
      </c>
      <c r="H108" s="73"/>
      <c r="I108" s="233" t="s">
        <v>264</v>
      </c>
      <c r="J108" s="73"/>
      <c r="K108" s="73"/>
      <c r="L108" s="73"/>
      <c r="M108" s="73">
        <f t="shared" ref="M108:M114" si="8">SUM(J108:L108)</f>
        <v>0</v>
      </c>
      <c r="N108" s="73">
        <f t="shared" ref="N108:N114" si="9">SUM(H108-M108)</f>
        <v>0</v>
      </c>
      <c r="O108" s="73"/>
    </row>
    <row r="109" spans="1:15" s="51" customFormat="1" x14ac:dyDescent="0.2">
      <c r="A109" s="162" t="s">
        <v>30</v>
      </c>
      <c r="B109" s="128"/>
      <c r="C109" s="128" t="s">
        <v>253</v>
      </c>
      <c r="D109" s="128" t="s">
        <v>191</v>
      </c>
      <c r="E109" s="128" t="s">
        <v>197</v>
      </c>
      <c r="F109" s="128" t="s">
        <v>81</v>
      </c>
      <c r="G109" s="128" t="s">
        <v>171</v>
      </c>
      <c r="H109" s="73">
        <v>4800</v>
      </c>
      <c r="I109" s="233" t="s">
        <v>264</v>
      </c>
      <c r="J109" s="73">
        <f>4800</f>
        <v>4800</v>
      </c>
      <c r="K109" s="73"/>
      <c r="L109" s="73"/>
      <c r="M109" s="73">
        <f t="shared" si="8"/>
        <v>4800</v>
      </c>
      <c r="N109" s="73">
        <f t="shared" si="9"/>
        <v>0</v>
      </c>
      <c r="O109" s="73"/>
    </row>
    <row r="110" spans="1:15" s="68" customFormat="1" ht="15.75" x14ac:dyDescent="0.2">
      <c r="A110" s="111" t="s">
        <v>43</v>
      </c>
      <c r="B110" s="196"/>
      <c r="C110" s="125" t="s">
        <v>147</v>
      </c>
      <c r="D110" s="125" t="s">
        <v>191</v>
      </c>
      <c r="E110" s="125" t="s">
        <v>198</v>
      </c>
      <c r="F110" s="125" t="s">
        <v>147</v>
      </c>
      <c r="G110" s="125" t="s">
        <v>147</v>
      </c>
      <c r="H110" s="44">
        <f>SUM(H111:H114)</f>
        <v>906400</v>
      </c>
      <c r="I110" s="232" t="s">
        <v>264</v>
      </c>
      <c r="J110" s="44">
        <f>SUM(J111:J114)</f>
        <v>503573.79000000004</v>
      </c>
      <c r="K110" s="44">
        <f>SUM(K111:K114)</f>
        <v>0</v>
      </c>
      <c r="L110" s="44">
        <f>SUM(L111:L114)</f>
        <v>0</v>
      </c>
      <c r="M110" s="84">
        <f t="shared" si="8"/>
        <v>503573.79000000004</v>
      </c>
      <c r="N110" s="84">
        <f t="shared" si="9"/>
        <v>402826.20999999996</v>
      </c>
      <c r="O110" s="84"/>
    </row>
    <row r="111" spans="1:15" s="163" customFormat="1" x14ac:dyDescent="0.2">
      <c r="A111" s="112" t="s">
        <v>44</v>
      </c>
      <c r="B111" s="196"/>
      <c r="C111" s="128" t="s">
        <v>253</v>
      </c>
      <c r="D111" s="196" t="s">
        <v>191</v>
      </c>
      <c r="E111" s="196" t="s">
        <v>199</v>
      </c>
      <c r="F111" s="196" t="s">
        <v>302</v>
      </c>
      <c r="G111" s="196" t="s">
        <v>167</v>
      </c>
      <c r="H111" s="85">
        <f>335400+200000</f>
        <v>535400</v>
      </c>
      <c r="I111" s="236" t="s">
        <v>264</v>
      </c>
      <c r="J111" s="248">
        <f>105530.09+900+17540.95+4000+15121.1+4000+3045+12242.68+14054+3556.95+1270+4000+426.32+8573.47+4000+11569.63+483.2</f>
        <v>210313.39</v>
      </c>
      <c r="K111" s="85"/>
      <c r="L111" s="85"/>
      <c r="M111" s="85">
        <f t="shared" si="8"/>
        <v>210313.39</v>
      </c>
      <c r="N111" s="85">
        <f t="shared" si="9"/>
        <v>325086.61</v>
      </c>
      <c r="O111" s="85"/>
    </row>
    <row r="112" spans="1:15" s="163" customFormat="1" x14ac:dyDescent="0.2">
      <c r="A112" s="112" t="s">
        <v>37</v>
      </c>
      <c r="B112" s="196"/>
      <c r="C112" s="128" t="s">
        <v>253</v>
      </c>
      <c r="D112" s="196" t="s">
        <v>191</v>
      </c>
      <c r="E112" s="196" t="s">
        <v>199</v>
      </c>
      <c r="F112" s="196" t="s">
        <v>81</v>
      </c>
      <c r="G112" s="196" t="s">
        <v>168</v>
      </c>
      <c r="H112" s="85"/>
      <c r="I112" s="236" t="s">
        <v>264</v>
      </c>
      <c r="J112" s="248"/>
      <c r="K112" s="85"/>
      <c r="L112" s="85"/>
      <c r="M112" s="85">
        <f t="shared" si="8"/>
        <v>0</v>
      </c>
      <c r="N112" s="85">
        <f t="shared" si="9"/>
        <v>0</v>
      </c>
      <c r="O112" s="85"/>
    </row>
    <row r="113" spans="1:15" s="163" customFormat="1" x14ac:dyDescent="0.2">
      <c r="A113" s="112" t="s">
        <v>29</v>
      </c>
      <c r="B113" s="196"/>
      <c r="C113" s="128" t="s">
        <v>253</v>
      </c>
      <c r="D113" s="196" t="s">
        <v>191</v>
      </c>
      <c r="E113" s="196" t="s">
        <v>199</v>
      </c>
      <c r="F113" s="196" t="s">
        <v>81</v>
      </c>
      <c r="G113" s="196" t="s">
        <v>170</v>
      </c>
      <c r="H113" s="85">
        <f>80000+8000+46000</f>
        <v>134000</v>
      </c>
      <c r="I113" s="236" t="s">
        <v>264</v>
      </c>
      <c r="J113" s="248">
        <f>88000+46000</f>
        <v>134000</v>
      </c>
      <c r="K113" s="85"/>
      <c r="L113" s="85"/>
      <c r="M113" s="85">
        <f t="shared" si="8"/>
        <v>134000</v>
      </c>
      <c r="N113" s="85">
        <f t="shared" si="9"/>
        <v>0</v>
      </c>
      <c r="O113" s="85"/>
    </row>
    <row r="114" spans="1:15" s="163" customFormat="1" x14ac:dyDescent="0.2">
      <c r="A114" s="112" t="s">
        <v>30</v>
      </c>
      <c r="B114" s="196"/>
      <c r="C114" s="128" t="s">
        <v>253</v>
      </c>
      <c r="D114" s="196" t="s">
        <v>191</v>
      </c>
      <c r="E114" s="196" t="s">
        <v>199</v>
      </c>
      <c r="F114" s="196" t="s">
        <v>302</v>
      </c>
      <c r="G114" s="196" t="s">
        <v>171</v>
      </c>
      <c r="H114" s="85">
        <f>195000+50000-8000</f>
        <v>237000</v>
      </c>
      <c r="I114" s="236" t="s">
        <v>264</v>
      </c>
      <c r="J114" s="248">
        <f>29245+500+4200+15510+2000+14254.4+7500+120+19000+1000+4220+1000+2000+16000+3811+38900</f>
        <v>159260.4</v>
      </c>
      <c r="K114" s="85"/>
      <c r="L114" s="85"/>
      <c r="M114" s="85">
        <f t="shared" si="8"/>
        <v>159260.4</v>
      </c>
      <c r="N114" s="85">
        <f t="shared" si="9"/>
        <v>77739.600000000006</v>
      </c>
      <c r="O114" s="85"/>
    </row>
    <row r="115" spans="1:15" s="68" customFormat="1" ht="30" x14ac:dyDescent="0.2">
      <c r="A115" s="111" t="s">
        <v>284</v>
      </c>
      <c r="B115" s="196"/>
      <c r="C115" s="125" t="s">
        <v>147</v>
      </c>
      <c r="D115" s="125" t="s">
        <v>285</v>
      </c>
      <c r="E115" s="125" t="s">
        <v>149</v>
      </c>
      <c r="F115" s="125" t="s">
        <v>147</v>
      </c>
      <c r="G115" s="125" t="s">
        <v>147</v>
      </c>
      <c r="H115" s="44">
        <f>SUM(H116:H118)</f>
        <v>3000</v>
      </c>
      <c r="I115" s="232" t="s">
        <v>264</v>
      </c>
      <c r="J115" s="44">
        <f>SUM(J116:J118)</f>
        <v>3000</v>
      </c>
      <c r="K115" s="44">
        <f>SUM(K116:K122)</f>
        <v>0</v>
      </c>
      <c r="L115" s="44">
        <f>SUM(L116:L122)</f>
        <v>0</v>
      </c>
      <c r="M115" s="84">
        <f>SUM(J115:L115)</f>
        <v>3000</v>
      </c>
      <c r="N115" s="84">
        <f>SUM(H115-M115)</f>
        <v>0</v>
      </c>
      <c r="O115" s="84"/>
    </row>
    <row r="116" spans="1:15" s="163" customFormat="1" x14ac:dyDescent="0.2">
      <c r="A116" s="112" t="s">
        <v>276</v>
      </c>
      <c r="B116" s="196"/>
      <c r="C116" s="128" t="s">
        <v>253</v>
      </c>
      <c r="D116" s="196" t="s">
        <v>285</v>
      </c>
      <c r="E116" s="196" t="s">
        <v>162</v>
      </c>
      <c r="F116" s="196" t="s">
        <v>320</v>
      </c>
      <c r="G116" s="196" t="s">
        <v>277</v>
      </c>
      <c r="H116" s="85">
        <v>3000</v>
      </c>
      <c r="I116" s="236"/>
      <c r="J116" s="248">
        <v>3000</v>
      </c>
      <c r="K116" s="85"/>
      <c r="L116" s="85"/>
      <c r="M116" s="85"/>
      <c r="N116" s="85"/>
      <c r="O116" s="85"/>
    </row>
    <row r="117" spans="1:15" s="163" customFormat="1" x14ac:dyDescent="0.2">
      <c r="A117" s="112" t="s">
        <v>33</v>
      </c>
      <c r="B117" s="196"/>
      <c r="C117" s="128" t="s">
        <v>253</v>
      </c>
      <c r="D117" s="196" t="s">
        <v>285</v>
      </c>
      <c r="E117" s="196" t="s">
        <v>296</v>
      </c>
      <c r="F117" s="196" t="s">
        <v>81</v>
      </c>
      <c r="G117" s="196" t="s">
        <v>181</v>
      </c>
      <c r="H117" s="85"/>
      <c r="I117" s="236"/>
      <c r="J117" s="248"/>
      <c r="K117" s="85"/>
      <c r="L117" s="85"/>
      <c r="M117" s="85"/>
      <c r="N117" s="85"/>
      <c r="O117" s="85"/>
    </row>
    <row r="118" spans="1:15" s="163" customFormat="1" x14ac:dyDescent="0.2">
      <c r="A118" s="112" t="s">
        <v>33</v>
      </c>
      <c r="B118" s="196"/>
      <c r="C118" s="128" t="s">
        <v>253</v>
      </c>
      <c r="D118" s="196" t="s">
        <v>285</v>
      </c>
      <c r="E118" s="196" t="s">
        <v>292</v>
      </c>
      <c r="F118" s="196" t="s">
        <v>81</v>
      </c>
      <c r="G118" s="196" t="s">
        <v>181</v>
      </c>
      <c r="H118" s="85"/>
      <c r="I118" s="236"/>
      <c r="J118" s="248"/>
      <c r="K118" s="85"/>
      <c r="L118" s="85"/>
      <c r="M118" s="85"/>
      <c r="N118" s="85"/>
      <c r="O118" s="85"/>
    </row>
    <row r="119" spans="1:15" s="68" customFormat="1" ht="27" customHeight="1" x14ac:dyDescent="0.2">
      <c r="A119" s="121" t="s">
        <v>232</v>
      </c>
      <c r="B119" s="12"/>
      <c r="C119" s="12" t="s">
        <v>147</v>
      </c>
      <c r="D119" s="12" t="s">
        <v>231</v>
      </c>
      <c r="E119" s="12" t="s">
        <v>149</v>
      </c>
      <c r="F119" s="12" t="s">
        <v>147</v>
      </c>
      <c r="G119" s="12" t="s">
        <v>147</v>
      </c>
      <c r="H119" s="123">
        <f>SUM(H120)</f>
        <v>30000</v>
      </c>
      <c r="I119" s="239" t="s">
        <v>264</v>
      </c>
      <c r="J119" s="123">
        <f>SUM(J120)</f>
        <v>1850</v>
      </c>
      <c r="K119" s="123">
        <f>SUM(K120)</f>
        <v>0</v>
      </c>
      <c r="L119" s="123">
        <f>SUM(L120)</f>
        <v>0</v>
      </c>
      <c r="M119" s="123">
        <f>SUM(M120)</f>
        <v>1850</v>
      </c>
      <c r="N119" s="123">
        <f>SUM(N120)</f>
        <v>28150</v>
      </c>
      <c r="O119" s="123"/>
    </row>
    <row r="120" spans="1:15" s="68" customFormat="1" ht="36" customHeight="1" x14ac:dyDescent="0.2">
      <c r="A120" s="124" t="s">
        <v>271</v>
      </c>
      <c r="B120" s="195"/>
      <c r="C120" s="125" t="s">
        <v>147</v>
      </c>
      <c r="D120" s="125" t="s">
        <v>233</v>
      </c>
      <c r="E120" s="125" t="s">
        <v>149</v>
      </c>
      <c r="F120" s="125" t="s">
        <v>147</v>
      </c>
      <c r="G120" s="195" t="s">
        <v>147</v>
      </c>
      <c r="H120" s="44">
        <f>SUM(H121+H122)</f>
        <v>30000</v>
      </c>
      <c r="I120" s="232" t="s">
        <v>264</v>
      </c>
      <c r="J120" s="44">
        <f>SUM(J121+J122)</f>
        <v>1850</v>
      </c>
      <c r="K120" s="44">
        <f>SUM(K121+K122)</f>
        <v>0</v>
      </c>
      <c r="L120" s="44">
        <f>SUM(L121+L122)</f>
        <v>0</v>
      </c>
      <c r="M120" s="44">
        <f>SUM(M121+M122)</f>
        <v>1850</v>
      </c>
      <c r="N120" s="44">
        <f>SUM(N121+N122)</f>
        <v>28150</v>
      </c>
      <c r="O120" s="44"/>
    </row>
    <row r="121" spans="1:15" s="68" customFormat="1" ht="15.75" x14ac:dyDescent="0.2">
      <c r="A121" s="162" t="s">
        <v>37</v>
      </c>
      <c r="B121" s="195"/>
      <c r="C121" s="128" t="s">
        <v>253</v>
      </c>
      <c r="D121" s="128" t="s">
        <v>233</v>
      </c>
      <c r="E121" s="128" t="s">
        <v>234</v>
      </c>
      <c r="F121" s="128" t="s">
        <v>81</v>
      </c>
      <c r="G121" s="128" t="s">
        <v>168</v>
      </c>
      <c r="H121" s="44"/>
      <c r="I121" s="232" t="s">
        <v>264</v>
      </c>
      <c r="J121" s="44"/>
      <c r="K121" s="44"/>
      <c r="L121" s="44"/>
      <c r="M121" s="85">
        <f>SUM(J121:L121)</f>
        <v>0</v>
      </c>
      <c r="N121" s="85">
        <f>SUM(H121-M121)</f>
        <v>0</v>
      </c>
      <c r="O121" s="85"/>
    </row>
    <row r="122" spans="1:15" s="163" customFormat="1" x14ac:dyDescent="0.2">
      <c r="A122" s="162" t="s">
        <v>28</v>
      </c>
      <c r="B122" s="196"/>
      <c r="C122" s="128" t="s">
        <v>253</v>
      </c>
      <c r="D122" s="196" t="s">
        <v>233</v>
      </c>
      <c r="E122" s="196" t="s">
        <v>234</v>
      </c>
      <c r="F122" s="196" t="s">
        <v>302</v>
      </c>
      <c r="G122" s="196" t="s">
        <v>169</v>
      </c>
      <c r="H122" s="85">
        <v>30000</v>
      </c>
      <c r="I122" s="236" t="s">
        <v>264</v>
      </c>
      <c r="J122" s="85">
        <f>1850</f>
        <v>1850</v>
      </c>
      <c r="K122" s="85"/>
      <c r="L122" s="85"/>
      <c r="M122" s="85">
        <f>SUM(J122:L122)</f>
        <v>1850</v>
      </c>
      <c r="N122" s="85">
        <f>SUM(H122-M122)</f>
        <v>28150</v>
      </c>
      <c r="O122" s="85"/>
    </row>
    <row r="123" spans="1:15" s="68" customFormat="1" ht="27" customHeight="1" x14ac:dyDescent="0.2">
      <c r="A123" s="121" t="s">
        <v>105</v>
      </c>
      <c r="B123" s="12"/>
      <c r="C123" s="12" t="s">
        <v>147</v>
      </c>
      <c r="D123" s="12" t="s">
        <v>200</v>
      </c>
      <c r="E123" s="12" t="s">
        <v>149</v>
      </c>
      <c r="F123" s="12" t="s">
        <v>147</v>
      </c>
      <c r="G123" s="12" t="s">
        <v>147</v>
      </c>
      <c r="H123" s="123">
        <f>SUM(H124+H136)</f>
        <v>2902500</v>
      </c>
      <c r="I123" s="239" t="s">
        <v>264</v>
      </c>
      <c r="J123" s="123">
        <f>SUM(J124+J136)</f>
        <v>1544292.45</v>
      </c>
      <c r="K123" s="123">
        <f>SUM(K124+K136)</f>
        <v>0</v>
      </c>
      <c r="L123" s="123">
        <f>SUM(L124+L136)</f>
        <v>0</v>
      </c>
      <c r="M123" s="123">
        <f>SUM(M124+M136)</f>
        <v>1544292.45</v>
      </c>
      <c r="N123" s="123">
        <f>SUM(N124+N136)</f>
        <v>1358207.55</v>
      </c>
      <c r="O123" s="123"/>
    </row>
    <row r="124" spans="1:15" s="68" customFormat="1" ht="15.75" x14ac:dyDescent="0.2">
      <c r="A124" s="129" t="s">
        <v>45</v>
      </c>
      <c r="B124" s="195"/>
      <c r="C124" s="125" t="s">
        <v>147</v>
      </c>
      <c r="D124" s="125" t="s">
        <v>201</v>
      </c>
      <c r="E124" s="125" t="s">
        <v>202</v>
      </c>
      <c r="F124" s="125" t="s">
        <v>147</v>
      </c>
      <c r="G124" s="195" t="s">
        <v>147</v>
      </c>
      <c r="H124" s="44">
        <f>SUM(H125:H135)</f>
        <v>1639300</v>
      </c>
      <c r="I124" s="232" t="s">
        <v>264</v>
      </c>
      <c r="J124" s="44">
        <f>SUM(J125:J135)</f>
        <v>840460.26</v>
      </c>
      <c r="K124" s="44">
        <f>SUM(K125:K135)</f>
        <v>0</v>
      </c>
      <c r="L124" s="44">
        <f>SUM(L125:L135)</f>
        <v>0</v>
      </c>
      <c r="M124" s="44">
        <f>SUM(M125:M135)</f>
        <v>840460.26</v>
      </c>
      <c r="N124" s="44">
        <f>SUM(N125:N135)</f>
        <v>798839.74</v>
      </c>
      <c r="O124" s="44"/>
    </row>
    <row r="125" spans="1:15" s="51" customFormat="1" x14ac:dyDescent="0.2">
      <c r="A125" s="162" t="s">
        <v>19</v>
      </c>
      <c r="B125" s="128"/>
      <c r="C125" s="128" t="s">
        <v>253</v>
      </c>
      <c r="D125" s="128" t="s">
        <v>201</v>
      </c>
      <c r="E125" s="128" t="s">
        <v>202</v>
      </c>
      <c r="F125" s="128" t="s">
        <v>312</v>
      </c>
      <c r="G125" s="128" t="s">
        <v>152</v>
      </c>
      <c r="H125" s="73">
        <v>852000</v>
      </c>
      <c r="I125" s="233" t="s">
        <v>264</v>
      </c>
      <c r="J125" s="246">
        <f>141567.32+18752.39+22600+87445.83+20000+7341+31941.38+31600+8773+22800+29908.46</f>
        <v>422729.38000000006</v>
      </c>
      <c r="K125" s="73"/>
      <c r="L125" s="73"/>
      <c r="M125" s="85">
        <f t="shared" ref="M125:M135" si="10">SUM(J125:L125)</f>
        <v>422729.38000000006</v>
      </c>
      <c r="N125" s="85">
        <f t="shared" ref="N125:N135" si="11">SUM(H125-M125)</f>
        <v>429270.61999999994</v>
      </c>
      <c r="O125" s="85"/>
    </row>
    <row r="126" spans="1:15" s="51" customFormat="1" x14ac:dyDescent="0.2">
      <c r="A126" s="162" t="s">
        <v>22</v>
      </c>
      <c r="B126" s="128"/>
      <c r="C126" s="128" t="s">
        <v>253</v>
      </c>
      <c r="D126" s="128" t="s">
        <v>201</v>
      </c>
      <c r="E126" s="128" t="s">
        <v>202</v>
      </c>
      <c r="F126" s="128" t="s">
        <v>313</v>
      </c>
      <c r="G126" s="128" t="s">
        <v>163</v>
      </c>
      <c r="H126" s="73">
        <v>29000</v>
      </c>
      <c r="I126" s="233" t="s">
        <v>264</v>
      </c>
      <c r="J126" s="73">
        <f>50+50+50+117.74+100+100</f>
        <v>467.74</v>
      </c>
      <c r="K126" s="73"/>
      <c r="L126" s="73"/>
      <c r="M126" s="85">
        <f t="shared" si="10"/>
        <v>467.74</v>
      </c>
      <c r="N126" s="85">
        <f t="shared" si="11"/>
        <v>28532.26</v>
      </c>
      <c r="O126" s="85"/>
    </row>
    <row r="127" spans="1:15" s="51" customFormat="1" x14ac:dyDescent="0.2">
      <c r="A127" s="162" t="s">
        <v>20</v>
      </c>
      <c r="B127" s="128"/>
      <c r="C127" s="128" t="s">
        <v>253</v>
      </c>
      <c r="D127" s="128" t="s">
        <v>201</v>
      </c>
      <c r="E127" s="128" t="s">
        <v>202</v>
      </c>
      <c r="F127" s="128" t="s">
        <v>312</v>
      </c>
      <c r="G127" s="128" t="s">
        <v>153</v>
      </c>
      <c r="H127" s="73">
        <v>257300</v>
      </c>
      <c r="I127" s="233" t="s">
        <v>264</v>
      </c>
      <c r="J127" s="246">
        <f>48221.33+33233.86+17903.27+20923.15</f>
        <v>120281.61000000002</v>
      </c>
      <c r="K127" s="73"/>
      <c r="L127" s="73"/>
      <c r="M127" s="85">
        <f t="shared" si="10"/>
        <v>120281.61000000002</v>
      </c>
      <c r="N127" s="85">
        <f t="shared" si="11"/>
        <v>137018.38999999998</v>
      </c>
      <c r="O127" s="85"/>
    </row>
    <row r="128" spans="1:15" s="51" customFormat="1" x14ac:dyDescent="0.2">
      <c r="A128" s="162" t="s">
        <v>24</v>
      </c>
      <c r="B128" s="128"/>
      <c r="C128" s="128" t="s">
        <v>253</v>
      </c>
      <c r="D128" s="128" t="s">
        <v>201</v>
      </c>
      <c r="E128" s="128" t="s">
        <v>202</v>
      </c>
      <c r="F128" s="128" t="s">
        <v>302</v>
      </c>
      <c r="G128" s="128" t="s">
        <v>165</v>
      </c>
      <c r="H128" s="73"/>
      <c r="I128" s="233" t="s">
        <v>281</v>
      </c>
      <c r="J128" s="246"/>
      <c r="K128" s="73"/>
      <c r="L128" s="73"/>
      <c r="M128" s="85">
        <f t="shared" si="10"/>
        <v>0</v>
      </c>
      <c r="N128" s="85">
        <f t="shared" si="11"/>
        <v>0</v>
      </c>
      <c r="O128" s="85"/>
    </row>
    <row r="129" spans="1:15" s="51" customFormat="1" x14ac:dyDescent="0.2">
      <c r="A129" s="162" t="s">
        <v>25</v>
      </c>
      <c r="B129" s="128"/>
      <c r="C129" s="128" t="s">
        <v>253</v>
      </c>
      <c r="D129" s="128" t="s">
        <v>201</v>
      </c>
      <c r="E129" s="128" t="s">
        <v>202</v>
      </c>
      <c r="F129" s="128" t="s">
        <v>302</v>
      </c>
      <c r="G129" s="128" t="s">
        <v>166</v>
      </c>
      <c r="H129" s="73">
        <v>54000</v>
      </c>
      <c r="I129" s="233" t="s">
        <v>264</v>
      </c>
      <c r="J129" s="246">
        <f>4352.22+4268.8+1974.55</f>
        <v>10595.57</v>
      </c>
      <c r="K129" s="73"/>
      <c r="L129" s="73"/>
      <c r="M129" s="85">
        <f t="shared" si="10"/>
        <v>10595.57</v>
      </c>
      <c r="N129" s="85">
        <f t="shared" si="11"/>
        <v>43404.43</v>
      </c>
      <c r="O129" s="85"/>
    </row>
    <row r="130" spans="1:15" s="51" customFormat="1" x14ac:dyDescent="0.2">
      <c r="A130" s="162" t="s">
        <v>44</v>
      </c>
      <c r="B130" s="128"/>
      <c r="C130" s="128" t="s">
        <v>253</v>
      </c>
      <c r="D130" s="128" t="s">
        <v>201</v>
      </c>
      <c r="E130" s="128" t="s">
        <v>202</v>
      </c>
      <c r="F130" s="128" t="s">
        <v>302</v>
      </c>
      <c r="G130" s="128" t="s">
        <v>167</v>
      </c>
      <c r="H130" s="73">
        <f>621000-33000-148800-176200</f>
        <v>263000</v>
      </c>
      <c r="I130" s="233" t="s">
        <v>264</v>
      </c>
      <c r="J130" s="73">
        <f>25297.23+9664+870+53093+8101.31+1000+10348.11+19970+870+1000+1000+7629.93+1000+5702</f>
        <v>145545.57999999999</v>
      </c>
      <c r="K130" s="73"/>
      <c r="L130" s="73"/>
      <c r="M130" s="85">
        <f t="shared" si="10"/>
        <v>145545.57999999999</v>
      </c>
      <c r="N130" s="85">
        <f t="shared" si="11"/>
        <v>117454.42000000001</v>
      </c>
      <c r="O130" s="85"/>
    </row>
    <row r="131" spans="1:15" s="51" customFormat="1" ht="15.75" customHeight="1" x14ac:dyDescent="0.2">
      <c r="A131" s="162" t="s">
        <v>37</v>
      </c>
      <c r="B131" s="128"/>
      <c r="C131" s="128" t="s">
        <v>253</v>
      </c>
      <c r="D131" s="128" t="s">
        <v>201</v>
      </c>
      <c r="E131" s="128" t="s">
        <v>202</v>
      </c>
      <c r="F131" s="128" t="s">
        <v>302</v>
      </c>
      <c r="G131" s="128" t="s">
        <v>168</v>
      </c>
      <c r="H131" s="73">
        <f>100000-10000</f>
        <v>90000</v>
      </c>
      <c r="I131" s="233" t="s">
        <v>264</v>
      </c>
      <c r="J131" s="73">
        <f>2399.3+4832+1550+2000+16008+15612.08+4832+4832</f>
        <v>52065.38</v>
      </c>
      <c r="K131" s="73"/>
      <c r="L131" s="73"/>
      <c r="M131" s="85">
        <f t="shared" si="10"/>
        <v>52065.38</v>
      </c>
      <c r="N131" s="85">
        <f t="shared" si="11"/>
        <v>37934.620000000003</v>
      </c>
      <c r="O131" s="85"/>
    </row>
    <row r="132" spans="1:15" s="51" customFormat="1" ht="15.75" customHeight="1" x14ac:dyDescent="0.2">
      <c r="A132" s="162" t="s">
        <v>28</v>
      </c>
      <c r="B132" s="128"/>
      <c r="C132" s="128" t="s">
        <v>253</v>
      </c>
      <c r="D132" s="128" t="s">
        <v>201</v>
      </c>
      <c r="E132" s="128" t="s">
        <v>202</v>
      </c>
      <c r="F132" s="128" t="s">
        <v>302</v>
      </c>
      <c r="G132" s="128" t="s">
        <v>169</v>
      </c>
      <c r="H132" s="73">
        <f>30000+10000</f>
        <v>40000</v>
      </c>
      <c r="I132" s="233" t="s">
        <v>264</v>
      </c>
      <c r="J132" s="246">
        <f>750+4500+11000+2000+8000+4000+2000+3200+1000</f>
        <v>36450</v>
      </c>
      <c r="K132" s="73"/>
      <c r="L132" s="73"/>
      <c r="M132" s="85">
        <f t="shared" si="10"/>
        <v>36450</v>
      </c>
      <c r="N132" s="85">
        <f t="shared" si="11"/>
        <v>3550</v>
      </c>
      <c r="O132" s="85"/>
    </row>
    <row r="133" spans="1:15" s="51" customFormat="1" ht="15.75" customHeight="1" x14ac:dyDescent="0.2">
      <c r="A133" s="112" t="s">
        <v>29</v>
      </c>
      <c r="B133" s="128"/>
      <c r="C133" s="128" t="s">
        <v>253</v>
      </c>
      <c r="D133" s="128" t="s">
        <v>201</v>
      </c>
      <c r="E133" s="128" t="s">
        <v>202</v>
      </c>
      <c r="F133" s="128" t="s">
        <v>181</v>
      </c>
      <c r="G133" s="128" t="s">
        <v>170</v>
      </c>
      <c r="H133" s="73"/>
      <c r="I133" s="233" t="s">
        <v>264</v>
      </c>
      <c r="J133" s="73"/>
      <c r="K133" s="73"/>
      <c r="L133" s="73"/>
      <c r="M133" s="85">
        <f>SUM(J133:L133)</f>
        <v>0</v>
      </c>
      <c r="N133" s="85">
        <f>SUM(H133-M133)</f>
        <v>0</v>
      </c>
      <c r="O133" s="85"/>
    </row>
    <row r="134" spans="1:15" s="51" customFormat="1" ht="15.75" customHeight="1" x14ac:dyDescent="0.2">
      <c r="A134" s="112" t="s">
        <v>29</v>
      </c>
      <c r="B134" s="128"/>
      <c r="C134" s="128" t="s">
        <v>253</v>
      </c>
      <c r="D134" s="128" t="s">
        <v>201</v>
      </c>
      <c r="E134" s="128" t="s">
        <v>202</v>
      </c>
      <c r="F134" s="128" t="s">
        <v>302</v>
      </c>
      <c r="G134" s="128" t="s">
        <v>170</v>
      </c>
      <c r="H134" s="73">
        <v>14000</v>
      </c>
      <c r="I134" s="233" t="s">
        <v>264</v>
      </c>
      <c r="J134" s="73">
        <v>14000</v>
      </c>
      <c r="K134" s="73"/>
      <c r="L134" s="73"/>
      <c r="M134" s="85">
        <f t="shared" si="10"/>
        <v>14000</v>
      </c>
      <c r="N134" s="85">
        <f t="shared" si="11"/>
        <v>0</v>
      </c>
      <c r="O134" s="85"/>
    </row>
    <row r="135" spans="1:15" s="51" customFormat="1" ht="15.75" customHeight="1" x14ac:dyDescent="0.2">
      <c r="A135" s="112" t="s">
        <v>30</v>
      </c>
      <c r="B135" s="128"/>
      <c r="C135" s="128" t="s">
        <v>253</v>
      </c>
      <c r="D135" s="128" t="s">
        <v>201</v>
      </c>
      <c r="E135" s="128" t="s">
        <v>202</v>
      </c>
      <c r="F135" s="128" t="s">
        <v>302</v>
      </c>
      <c r="G135" s="128" t="s">
        <v>171</v>
      </c>
      <c r="H135" s="73">
        <f>5000+9000+10000+7000+9000</f>
        <v>40000</v>
      </c>
      <c r="I135" s="233" t="s">
        <v>264</v>
      </c>
      <c r="J135" s="246">
        <f>2500+10000+1195+340+3100-2000+8000+7700+4000+2430+1060</f>
        <v>38325</v>
      </c>
      <c r="K135" s="73"/>
      <c r="L135" s="73"/>
      <c r="M135" s="85">
        <f t="shared" si="10"/>
        <v>38325</v>
      </c>
      <c r="N135" s="85">
        <f t="shared" si="11"/>
        <v>1675</v>
      </c>
      <c r="O135" s="85"/>
    </row>
    <row r="136" spans="1:15" s="68" customFormat="1" ht="15.75" x14ac:dyDescent="0.2">
      <c r="A136" s="129" t="s">
        <v>226</v>
      </c>
      <c r="B136" s="195"/>
      <c r="C136" s="125" t="s">
        <v>147</v>
      </c>
      <c r="D136" s="125" t="s">
        <v>201</v>
      </c>
      <c r="E136" s="125" t="s">
        <v>227</v>
      </c>
      <c r="F136" s="125" t="s">
        <v>147</v>
      </c>
      <c r="G136" s="195" t="s">
        <v>147</v>
      </c>
      <c r="H136" s="44">
        <f>SUM(H137:H146)</f>
        <v>1263200</v>
      </c>
      <c r="I136" s="232" t="s">
        <v>264</v>
      </c>
      <c r="J136" s="44">
        <f>SUM(J137:J146)</f>
        <v>703832.19</v>
      </c>
      <c r="K136" s="44">
        <f>SUM(K137:K146)</f>
        <v>0</v>
      </c>
      <c r="L136" s="44">
        <f>SUM(L137:L146)</f>
        <v>0</v>
      </c>
      <c r="M136" s="44">
        <f>SUM(M137:M146)</f>
        <v>703832.19</v>
      </c>
      <c r="N136" s="44">
        <f>SUM(N137:N146)</f>
        <v>559367.81000000006</v>
      </c>
      <c r="O136" s="44"/>
    </row>
    <row r="137" spans="1:15" s="51" customFormat="1" x14ac:dyDescent="0.2">
      <c r="A137" s="162" t="s">
        <v>19</v>
      </c>
      <c r="B137" s="128"/>
      <c r="C137" s="128" t="s">
        <v>253</v>
      </c>
      <c r="D137" s="128" t="s">
        <v>201</v>
      </c>
      <c r="E137" s="128" t="s">
        <v>227</v>
      </c>
      <c r="F137" s="128" t="s">
        <v>312</v>
      </c>
      <c r="G137" s="128" t="s">
        <v>152</v>
      </c>
      <c r="H137" s="73">
        <v>835000</v>
      </c>
      <c r="I137" s="233" t="s">
        <v>264</v>
      </c>
      <c r="J137" s="246">
        <f>140783.2+25225.1+23100+114211.7+21000+9132+51004.43+18900+12059+21400+53697.38</f>
        <v>490512.81</v>
      </c>
      <c r="K137" s="73"/>
      <c r="L137" s="73"/>
      <c r="M137" s="85">
        <f t="shared" ref="M137:M146" si="12">SUM(J137:L137)</f>
        <v>490512.81</v>
      </c>
      <c r="N137" s="85">
        <f t="shared" ref="N137:N146" si="13">SUM(H137-M137)</f>
        <v>344487.19</v>
      </c>
      <c r="O137" s="85"/>
    </row>
    <row r="138" spans="1:15" s="51" customFormat="1" x14ac:dyDescent="0.2">
      <c r="A138" s="162" t="s">
        <v>22</v>
      </c>
      <c r="B138" s="128"/>
      <c r="C138" s="128" t="s">
        <v>253</v>
      </c>
      <c r="D138" s="128" t="s">
        <v>201</v>
      </c>
      <c r="E138" s="128" t="s">
        <v>227</v>
      </c>
      <c r="F138" s="128" t="s">
        <v>313</v>
      </c>
      <c r="G138" s="128" t="s">
        <v>163</v>
      </c>
      <c r="H138" s="73">
        <v>28500</v>
      </c>
      <c r="I138" s="233" t="s">
        <v>264</v>
      </c>
      <c r="J138" s="246"/>
      <c r="K138" s="73"/>
      <c r="L138" s="73"/>
      <c r="M138" s="85">
        <f t="shared" si="12"/>
        <v>0</v>
      </c>
      <c r="N138" s="85">
        <f t="shared" si="13"/>
        <v>28500</v>
      </c>
      <c r="O138" s="85"/>
    </row>
    <row r="139" spans="1:15" s="51" customFormat="1" x14ac:dyDescent="0.2">
      <c r="A139" s="162" t="s">
        <v>20</v>
      </c>
      <c r="B139" s="128"/>
      <c r="C139" s="128" t="s">
        <v>253</v>
      </c>
      <c r="D139" s="128" t="s">
        <v>201</v>
      </c>
      <c r="E139" s="128" t="s">
        <v>227</v>
      </c>
      <c r="F139" s="128" t="s">
        <v>312</v>
      </c>
      <c r="G139" s="128" t="s">
        <v>153</v>
      </c>
      <c r="H139" s="73">
        <v>252200</v>
      </c>
      <c r="I139" s="233" t="s">
        <v>264</v>
      </c>
      <c r="J139" s="246">
        <f>50134.5+41468.14+21175.93+28435.25</f>
        <v>141213.82</v>
      </c>
      <c r="K139" s="73"/>
      <c r="L139" s="73"/>
      <c r="M139" s="85">
        <f t="shared" si="12"/>
        <v>141213.82</v>
      </c>
      <c r="N139" s="85">
        <f t="shared" si="13"/>
        <v>110986.18</v>
      </c>
      <c r="O139" s="85"/>
    </row>
    <row r="140" spans="1:15" s="51" customFormat="1" x14ac:dyDescent="0.2">
      <c r="A140" s="162" t="s">
        <v>23</v>
      </c>
      <c r="B140" s="128"/>
      <c r="C140" s="128" t="s">
        <v>253</v>
      </c>
      <c r="D140" s="128" t="s">
        <v>201</v>
      </c>
      <c r="E140" s="128" t="s">
        <v>227</v>
      </c>
      <c r="F140" s="128" t="s">
        <v>203</v>
      </c>
      <c r="G140" s="128" t="s">
        <v>164</v>
      </c>
      <c r="H140" s="73"/>
      <c r="I140" s="233" t="s">
        <v>264</v>
      </c>
      <c r="J140" s="246"/>
      <c r="K140" s="73"/>
      <c r="L140" s="73"/>
      <c r="M140" s="85">
        <f t="shared" si="12"/>
        <v>0</v>
      </c>
      <c r="N140" s="85">
        <f t="shared" si="13"/>
        <v>0</v>
      </c>
      <c r="O140" s="85"/>
    </row>
    <row r="141" spans="1:15" s="51" customFormat="1" x14ac:dyDescent="0.2">
      <c r="A141" s="162" t="s">
        <v>25</v>
      </c>
      <c r="B141" s="128"/>
      <c r="C141" s="128" t="s">
        <v>253</v>
      </c>
      <c r="D141" s="128" t="s">
        <v>201</v>
      </c>
      <c r="E141" s="128" t="s">
        <v>227</v>
      </c>
      <c r="F141" s="128" t="s">
        <v>302</v>
      </c>
      <c r="G141" s="128" t="s">
        <v>166</v>
      </c>
      <c r="H141" s="73">
        <v>40000</v>
      </c>
      <c r="I141" s="233" t="s">
        <v>264</v>
      </c>
      <c r="J141" s="246">
        <f>12092.64+6508.75+1200.28+126.69+110.83</f>
        <v>20039.189999999999</v>
      </c>
      <c r="K141" s="73"/>
      <c r="L141" s="73"/>
      <c r="M141" s="85">
        <f t="shared" si="12"/>
        <v>20039.189999999999</v>
      </c>
      <c r="N141" s="85">
        <f t="shared" si="13"/>
        <v>19960.810000000001</v>
      </c>
      <c r="O141" s="85"/>
    </row>
    <row r="142" spans="1:15" s="51" customFormat="1" x14ac:dyDescent="0.2">
      <c r="A142" s="162" t="s">
        <v>44</v>
      </c>
      <c r="B142" s="128"/>
      <c r="C142" s="128" t="s">
        <v>253</v>
      </c>
      <c r="D142" s="128" t="s">
        <v>201</v>
      </c>
      <c r="E142" s="128" t="s">
        <v>227</v>
      </c>
      <c r="F142" s="128" t="s">
        <v>302</v>
      </c>
      <c r="G142" s="128" t="s">
        <v>167</v>
      </c>
      <c r="H142" s="73">
        <v>86000</v>
      </c>
      <c r="I142" s="233" t="s">
        <v>264</v>
      </c>
      <c r="J142" s="246">
        <f>16698+4785+7161+2088.67+4204.34+2376+4785</f>
        <v>42098.009999999995</v>
      </c>
      <c r="K142" s="73"/>
      <c r="L142" s="73"/>
      <c r="M142" s="85">
        <f t="shared" si="12"/>
        <v>42098.009999999995</v>
      </c>
      <c r="N142" s="85">
        <f t="shared" si="13"/>
        <v>43901.990000000005</v>
      </c>
      <c r="O142" s="85"/>
    </row>
    <row r="143" spans="1:15" s="51" customFormat="1" ht="15.75" customHeight="1" x14ac:dyDescent="0.2">
      <c r="A143" s="162" t="s">
        <v>37</v>
      </c>
      <c r="B143" s="128"/>
      <c r="C143" s="128" t="s">
        <v>253</v>
      </c>
      <c r="D143" s="128" t="s">
        <v>201</v>
      </c>
      <c r="E143" s="128" t="s">
        <v>227</v>
      </c>
      <c r="F143" s="128" t="s">
        <v>302</v>
      </c>
      <c r="G143" s="128" t="s">
        <v>168</v>
      </c>
      <c r="H143" s="73">
        <v>15000</v>
      </c>
      <c r="I143" s="233" t="s">
        <v>264</v>
      </c>
      <c r="J143" s="246">
        <v>7540.36</v>
      </c>
      <c r="K143" s="73"/>
      <c r="L143" s="73"/>
      <c r="M143" s="85">
        <f t="shared" si="12"/>
        <v>7540.36</v>
      </c>
      <c r="N143" s="85">
        <f t="shared" si="13"/>
        <v>7459.64</v>
      </c>
      <c r="O143" s="85"/>
    </row>
    <row r="144" spans="1:15" s="51" customFormat="1" ht="15.75" customHeight="1" x14ac:dyDescent="0.2">
      <c r="A144" s="162" t="s">
        <v>28</v>
      </c>
      <c r="B144" s="128"/>
      <c r="C144" s="128" t="s">
        <v>253</v>
      </c>
      <c r="D144" s="128" t="s">
        <v>201</v>
      </c>
      <c r="E144" s="128" t="s">
        <v>227</v>
      </c>
      <c r="F144" s="128" t="s">
        <v>302</v>
      </c>
      <c r="G144" s="128" t="s">
        <v>169</v>
      </c>
      <c r="H144" s="73">
        <f>1000+500</f>
        <v>1500</v>
      </c>
      <c r="I144" s="233" t="s">
        <v>264</v>
      </c>
      <c r="J144" s="246">
        <f>362+1000</f>
        <v>1362</v>
      </c>
      <c r="K144" s="73"/>
      <c r="L144" s="73"/>
      <c r="M144" s="85">
        <f t="shared" si="12"/>
        <v>1362</v>
      </c>
      <c r="N144" s="85">
        <f t="shared" si="13"/>
        <v>138</v>
      </c>
      <c r="O144" s="85"/>
    </row>
    <row r="145" spans="1:15" s="51" customFormat="1" ht="15.75" customHeight="1" x14ac:dyDescent="0.2">
      <c r="A145" s="112" t="s">
        <v>29</v>
      </c>
      <c r="B145" s="128"/>
      <c r="C145" s="128" t="s">
        <v>253</v>
      </c>
      <c r="D145" s="128" t="s">
        <v>201</v>
      </c>
      <c r="E145" s="128" t="s">
        <v>227</v>
      </c>
      <c r="F145" s="128" t="s">
        <v>302</v>
      </c>
      <c r="G145" s="128" t="s">
        <v>170</v>
      </c>
      <c r="H145" s="73"/>
      <c r="I145" s="233" t="s">
        <v>264</v>
      </c>
      <c r="J145" s="246"/>
      <c r="K145" s="73"/>
      <c r="L145" s="73"/>
      <c r="M145" s="85">
        <f t="shared" si="12"/>
        <v>0</v>
      </c>
      <c r="N145" s="85">
        <f t="shared" si="13"/>
        <v>0</v>
      </c>
      <c r="O145" s="85"/>
    </row>
    <row r="146" spans="1:15" s="51" customFormat="1" ht="15.75" customHeight="1" x14ac:dyDescent="0.2">
      <c r="A146" s="112" t="s">
        <v>30</v>
      </c>
      <c r="B146" s="128"/>
      <c r="C146" s="128" t="s">
        <v>253</v>
      </c>
      <c r="D146" s="128" t="s">
        <v>201</v>
      </c>
      <c r="E146" s="128" t="s">
        <v>227</v>
      </c>
      <c r="F146" s="128" t="s">
        <v>302</v>
      </c>
      <c r="G146" s="128" t="s">
        <v>171</v>
      </c>
      <c r="H146" s="73">
        <v>5000</v>
      </c>
      <c r="I146" s="233" t="s">
        <v>264</v>
      </c>
      <c r="J146" s="246">
        <f>516+550</f>
        <v>1066</v>
      </c>
      <c r="K146" s="73"/>
      <c r="L146" s="73"/>
      <c r="M146" s="85">
        <f t="shared" si="12"/>
        <v>1066</v>
      </c>
      <c r="N146" s="85">
        <f t="shared" si="13"/>
        <v>3934</v>
      </c>
      <c r="O146" s="85"/>
    </row>
    <row r="147" spans="1:15" s="68" customFormat="1" ht="15.75" x14ac:dyDescent="0.2">
      <c r="A147" s="91" t="s">
        <v>46</v>
      </c>
      <c r="B147" s="197"/>
      <c r="C147" s="197" t="s">
        <v>147</v>
      </c>
      <c r="D147" s="197" t="s">
        <v>204</v>
      </c>
      <c r="E147" s="197" t="s">
        <v>149</v>
      </c>
      <c r="F147" s="197" t="s">
        <v>147</v>
      </c>
      <c r="G147" s="197" t="s">
        <v>147</v>
      </c>
      <c r="H147" s="95">
        <f>SUM(H148+H150)</f>
        <v>226000</v>
      </c>
      <c r="I147" s="242" t="s">
        <v>264</v>
      </c>
      <c r="J147" s="95">
        <f>SUM(J148+J150)</f>
        <v>123310.05000000002</v>
      </c>
      <c r="K147" s="95">
        <f>SUM(K148+K150)</f>
        <v>0</v>
      </c>
      <c r="L147" s="95">
        <f>SUM(L148+L150)</f>
        <v>0</v>
      </c>
      <c r="M147" s="95">
        <f>SUM(M148+M150)</f>
        <v>123310.05000000002</v>
      </c>
      <c r="N147" s="95">
        <f>SUM(N148+N150)</f>
        <v>102689.94999999998</v>
      </c>
      <c r="O147" s="95"/>
    </row>
    <row r="148" spans="1:15" s="48" customFormat="1" ht="15.75" x14ac:dyDescent="0.2">
      <c r="A148" s="129" t="s">
        <v>47</v>
      </c>
      <c r="B148" s="125"/>
      <c r="C148" s="125" t="s">
        <v>147</v>
      </c>
      <c r="D148" s="125" t="s">
        <v>205</v>
      </c>
      <c r="E148" s="125" t="s">
        <v>149</v>
      </c>
      <c r="F148" s="125" t="s">
        <v>147</v>
      </c>
      <c r="G148" s="125" t="s">
        <v>147</v>
      </c>
      <c r="H148" s="44">
        <f>SUM(H149)</f>
        <v>226000</v>
      </c>
      <c r="I148" s="232" t="s">
        <v>264</v>
      </c>
      <c r="J148" s="44">
        <f>SUM(J149)</f>
        <v>123310.05000000002</v>
      </c>
      <c r="K148" s="44">
        <f>SUM(K149)</f>
        <v>0</v>
      </c>
      <c r="L148" s="44">
        <f>SUM(L149)</f>
        <v>0</v>
      </c>
      <c r="M148" s="44">
        <f>SUM(J148:L148)</f>
        <v>123310.05000000002</v>
      </c>
      <c r="N148" s="44">
        <f>SUM(H148-M148)</f>
        <v>102689.94999999998</v>
      </c>
      <c r="O148" s="44"/>
    </row>
    <row r="149" spans="1:15" s="51" customFormat="1" x14ac:dyDescent="0.2">
      <c r="A149" s="162" t="s">
        <v>48</v>
      </c>
      <c r="B149" s="128"/>
      <c r="C149" s="128" t="s">
        <v>253</v>
      </c>
      <c r="D149" s="128" t="s">
        <v>205</v>
      </c>
      <c r="E149" s="128" t="s">
        <v>206</v>
      </c>
      <c r="F149" s="128" t="s">
        <v>314</v>
      </c>
      <c r="G149" s="128" t="s">
        <v>208</v>
      </c>
      <c r="H149" s="73">
        <v>226000</v>
      </c>
      <c r="I149" s="233" t="s">
        <v>264</v>
      </c>
      <c r="J149" s="246">
        <f>16687.41+15153.23+14726.07+27970.07+14726.07+14726.07+19321.13</f>
        <v>123310.05000000002</v>
      </c>
      <c r="K149" s="73"/>
      <c r="L149" s="73"/>
      <c r="M149" s="73">
        <f>SUM(J149:L149)</f>
        <v>123310.05000000002</v>
      </c>
      <c r="N149" s="73">
        <f>SUM(H149-M149)</f>
        <v>102689.94999999998</v>
      </c>
      <c r="O149" s="73"/>
    </row>
    <row r="150" spans="1:15" s="68" customFormat="1" ht="15.75" x14ac:dyDescent="0.2">
      <c r="A150" s="130" t="s">
        <v>49</v>
      </c>
      <c r="B150" s="195"/>
      <c r="C150" s="198" t="s">
        <v>147</v>
      </c>
      <c r="D150" s="198" t="s">
        <v>209</v>
      </c>
      <c r="E150" s="198" t="s">
        <v>149</v>
      </c>
      <c r="F150" s="198" t="s">
        <v>147</v>
      </c>
      <c r="G150" s="198" t="s">
        <v>147</v>
      </c>
      <c r="H150" s="84">
        <f>SUM(H151)</f>
        <v>0</v>
      </c>
      <c r="I150" s="240" t="s">
        <v>264</v>
      </c>
      <c r="J150" s="84">
        <v>0</v>
      </c>
      <c r="K150" s="84">
        <f>SUM(K151)</f>
        <v>0</v>
      </c>
      <c r="L150" s="84">
        <f>SUM(L151)</f>
        <v>0</v>
      </c>
      <c r="M150" s="84">
        <f>SUM(J150:L150)</f>
        <v>0</v>
      </c>
      <c r="N150" s="84">
        <f>SUM(H150-M150)</f>
        <v>0</v>
      </c>
      <c r="O150" s="84"/>
    </row>
    <row r="151" spans="1:15" s="51" customFormat="1" x14ac:dyDescent="0.2">
      <c r="A151" s="162" t="s">
        <v>37</v>
      </c>
      <c r="B151" s="128"/>
      <c r="C151" s="128" t="s">
        <v>253</v>
      </c>
      <c r="D151" s="128" t="s">
        <v>209</v>
      </c>
      <c r="E151" s="128" t="s">
        <v>210</v>
      </c>
      <c r="F151" s="128" t="s">
        <v>207</v>
      </c>
      <c r="G151" s="128" t="s">
        <v>168</v>
      </c>
      <c r="H151" s="73"/>
      <c r="I151" s="233" t="s">
        <v>264</v>
      </c>
      <c r="J151" s="73"/>
      <c r="K151" s="73"/>
      <c r="L151" s="73"/>
      <c r="M151" s="73">
        <f>SUM(J151:L151)</f>
        <v>0</v>
      </c>
      <c r="N151" s="73">
        <f>SUM(H151-M151)</f>
        <v>0</v>
      </c>
      <c r="O151" s="73"/>
    </row>
    <row r="152" spans="1:15" s="68" customFormat="1" ht="15.75" x14ac:dyDescent="0.2">
      <c r="A152" s="91" t="s">
        <v>228</v>
      </c>
      <c r="B152" s="197"/>
      <c r="C152" s="197" t="s">
        <v>147</v>
      </c>
      <c r="D152" s="125" t="s">
        <v>283</v>
      </c>
      <c r="E152" s="197" t="s">
        <v>149</v>
      </c>
      <c r="F152" s="197" t="s">
        <v>147</v>
      </c>
      <c r="G152" s="197" t="s">
        <v>147</v>
      </c>
      <c r="H152" s="95">
        <f>SUM(H153)</f>
        <v>20000</v>
      </c>
      <c r="I152" s="242" t="s">
        <v>264</v>
      </c>
      <c r="J152" s="95">
        <f>SUM(J153)</f>
        <v>4500</v>
      </c>
      <c r="K152" s="95">
        <f>SUM(K153)</f>
        <v>0</v>
      </c>
      <c r="L152" s="95">
        <f>SUM(L153)</f>
        <v>0</v>
      </c>
      <c r="M152" s="95">
        <f>SUM(M153)</f>
        <v>4500</v>
      </c>
      <c r="N152" s="95">
        <f>SUM(N153)</f>
        <v>15500</v>
      </c>
      <c r="O152" s="95"/>
    </row>
    <row r="153" spans="1:15" s="48" customFormat="1" ht="15.75" x14ac:dyDescent="0.2">
      <c r="A153" s="129" t="s">
        <v>229</v>
      </c>
      <c r="B153" s="125"/>
      <c r="C153" s="125" t="s">
        <v>147</v>
      </c>
      <c r="D153" s="125" t="s">
        <v>283</v>
      </c>
      <c r="E153" s="125" t="s">
        <v>230</v>
      </c>
      <c r="F153" s="125" t="s">
        <v>81</v>
      </c>
      <c r="G153" s="125" t="s">
        <v>147</v>
      </c>
      <c r="H153" s="44">
        <f>SUM(H154+H155)</f>
        <v>20000</v>
      </c>
      <c r="I153" s="232" t="s">
        <v>264</v>
      </c>
      <c r="J153" s="44">
        <f>SUM(J154)</f>
        <v>4500</v>
      </c>
      <c r="K153" s="44">
        <f>SUM(K154+K155)</f>
        <v>0</v>
      </c>
      <c r="L153" s="44">
        <f>SUM(L154+L155)</f>
        <v>0</v>
      </c>
      <c r="M153" s="44">
        <f>SUM(M154+M155)</f>
        <v>4500</v>
      </c>
      <c r="N153" s="44">
        <f>SUM(N154+N155)</f>
        <v>15500</v>
      </c>
      <c r="O153" s="44"/>
    </row>
    <row r="154" spans="1:15" s="51" customFormat="1" ht="15.75" customHeight="1" x14ac:dyDescent="0.2">
      <c r="A154" s="162" t="s">
        <v>37</v>
      </c>
      <c r="B154" s="128"/>
      <c r="C154" s="128" t="s">
        <v>253</v>
      </c>
      <c r="D154" s="128" t="s">
        <v>283</v>
      </c>
      <c r="E154" s="128" t="s">
        <v>230</v>
      </c>
      <c r="F154" s="128" t="s">
        <v>302</v>
      </c>
      <c r="G154" s="128" t="s">
        <v>169</v>
      </c>
      <c r="H154" s="73">
        <v>20000</v>
      </c>
      <c r="I154" s="233" t="s">
        <v>264</v>
      </c>
      <c r="J154" s="73">
        <f>1500+3000</f>
        <v>4500</v>
      </c>
      <c r="K154" s="73"/>
      <c r="L154" s="73"/>
      <c r="M154" s="85">
        <f>SUM(J154:L154)</f>
        <v>4500</v>
      </c>
      <c r="N154" s="85">
        <f>SUM(H154-M154)</f>
        <v>15500</v>
      </c>
      <c r="O154" s="85"/>
    </row>
    <row r="155" spans="1:15" s="51" customFormat="1" ht="15.75" customHeight="1" x14ac:dyDescent="0.2">
      <c r="A155" s="162" t="s">
        <v>28</v>
      </c>
      <c r="B155" s="128"/>
      <c r="C155" s="128" t="s">
        <v>253</v>
      </c>
      <c r="D155" s="128" t="s">
        <v>283</v>
      </c>
      <c r="E155" s="128" t="s">
        <v>230</v>
      </c>
      <c r="F155" s="128" t="s">
        <v>81</v>
      </c>
      <c r="G155" s="128" t="s">
        <v>169</v>
      </c>
      <c r="H155" s="73"/>
      <c r="I155" s="233" t="s">
        <v>264</v>
      </c>
      <c r="J155" s="73"/>
      <c r="K155" s="73"/>
      <c r="L155" s="73"/>
      <c r="M155" s="85">
        <f>SUM(J155:L155)</f>
        <v>0</v>
      </c>
      <c r="N155" s="85">
        <f>SUM(H155-M155)</f>
        <v>0</v>
      </c>
      <c r="O155" s="85"/>
    </row>
    <row r="156" spans="1:15" s="51" customFormat="1" ht="15.75" x14ac:dyDescent="0.25">
      <c r="A156" s="249"/>
      <c r="B156" s="128"/>
      <c r="C156" s="125"/>
      <c r="D156" s="125"/>
      <c r="E156" s="125"/>
      <c r="F156" s="125"/>
      <c r="G156" s="125"/>
      <c r="H156" s="44"/>
      <c r="I156" s="233"/>
      <c r="J156" s="44"/>
      <c r="K156" s="73"/>
      <c r="L156" s="73"/>
      <c r="M156" s="73"/>
      <c r="N156" s="73"/>
      <c r="O156" s="73"/>
    </row>
    <row r="157" spans="1:15" s="51" customFormat="1" x14ac:dyDescent="0.2">
      <c r="A157" s="162"/>
      <c r="B157" s="128"/>
      <c r="C157" s="128"/>
      <c r="D157" s="128"/>
      <c r="E157" s="128"/>
      <c r="F157" s="128"/>
      <c r="G157" s="128"/>
      <c r="H157" s="73"/>
      <c r="I157" s="233"/>
      <c r="J157" s="73"/>
      <c r="K157" s="73"/>
      <c r="L157" s="73"/>
      <c r="M157" s="73"/>
      <c r="N157" s="73"/>
      <c r="O157" s="73"/>
    </row>
    <row r="158" spans="1:15" s="68" customFormat="1" ht="36" customHeight="1" x14ac:dyDescent="0.2">
      <c r="A158" s="126" t="s">
        <v>106</v>
      </c>
      <c r="B158" s="196"/>
      <c r="C158" s="196"/>
      <c r="D158" s="196"/>
      <c r="E158" s="196"/>
      <c r="F158" s="196"/>
      <c r="G158" s="196"/>
      <c r="H158" s="85">
        <f>SUM(Доходы!D14-Расходы!H6)</f>
        <v>-1283000</v>
      </c>
      <c r="I158" s="236" t="s">
        <v>264</v>
      </c>
      <c r="J158" s="85">
        <f>SUM(Доходы!H14-Расходы!J6)</f>
        <v>880501.71</v>
      </c>
      <c r="K158" s="85">
        <f>SUM(Доходы!F14-Расходы!K6)</f>
        <v>0</v>
      </c>
      <c r="L158" s="85">
        <f>SUM(Доходы!G14-Расходы!L6)</f>
        <v>0</v>
      </c>
      <c r="M158" s="85">
        <f>SUM(Доходы!H14-Расходы!M6)</f>
        <v>880501.71</v>
      </c>
      <c r="N158" s="85">
        <f>SUM(Доходы!I14-Расходы!N6)</f>
        <v>862098.29</v>
      </c>
      <c r="O158" s="85"/>
    </row>
    <row r="159" spans="1:15" s="68" customFormat="1" x14ac:dyDescent="0.2">
      <c r="A159" s="131"/>
      <c r="B159" s="199"/>
      <c r="C159" s="199"/>
      <c r="D159" s="199"/>
      <c r="E159" s="199"/>
      <c r="F159" s="199"/>
      <c r="G159" s="199"/>
      <c r="H159" s="132"/>
      <c r="I159" s="243"/>
      <c r="J159" s="134"/>
      <c r="K159" s="135"/>
      <c r="L159" s="133"/>
      <c r="M159" s="133"/>
      <c r="N159" s="132"/>
      <c r="O159" s="133"/>
    </row>
    <row r="160" spans="1:15" x14ac:dyDescent="0.2">
      <c r="A160" s="20"/>
      <c r="B160" s="200"/>
      <c r="C160" s="200"/>
      <c r="D160" s="200"/>
      <c r="E160" s="200"/>
      <c r="F160" s="200"/>
      <c r="G160" s="200"/>
      <c r="H160" s="37"/>
      <c r="I160" s="244"/>
      <c r="J160" s="37"/>
      <c r="K160" s="37"/>
      <c r="L160" s="37"/>
      <c r="M160" s="37"/>
      <c r="N160" s="37"/>
      <c r="O160" s="37"/>
    </row>
    <row r="162" spans="1:1" x14ac:dyDescent="0.2">
      <c r="A162" s="1"/>
    </row>
    <row r="164" spans="1:1" ht="18" x14ac:dyDescent="0.2">
      <c r="A164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4" orientation="landscape" verticalDpi="300" r:id="rId1"/>
  <headerFooter alignWithMargins="0"/>
  <rowBreaks count="3" manualBreakCount="3">
    <brk id="37" max="14" man="1"/>
    <brk id="83" max="14" man="1"/>
    <brk id="12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D20" sqref="D20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92" t="s">
        <v>266</v>
      </c>
      <c r="B1" s="292"/>
      <c r="C1" s="292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96" t="s">
        <v>89</v>
      </c>
      <c r="B3" s="294" t="s">
        <v>3</v>
      </c>
      <c r="C3" s="290" t="s">
        <v>146</v>
      </c>
      <c r="D3" s="287" t="s">
        <v>260</v>
      </c>
      <c r="E3" s="289" t="s">
        <v>15</v>
      </c>
      <c r="F3" s="289"/>
      <c r="G3" s="289"/>
      <c r="H3" s="289"/>
      <c r="I3" s="298" t="s">
        <v>16</v>
      </c>
    </row>
    <row r="4" spans="1:9" s="190" customFormat="1" ht="72" customHeight="1" x14ac:dyDescent="0.2">
      <c r="A4" s="297"/>
      <c r="B4" s="295"/>
      <c r="C4" s="291"/>
      <c r="D4" s="288"/>
      <c r="E4" s="191" t="s">
        <v>141</v>
      </c>
      <c r="F4" s="186" t="s">
        <v>5</v>
      </c>
      <c r="G4" s="188" t="s">
        <v>17</v>
      </c>
      <c r="H4" s="189" t="s">
        <v>88</v>
      </c>
      <c r="I4" s="299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90</v>
      </c>
      <c r="E5" s="38" t="s">
        <v>92</v>
      </c>
      <c r="F5" s="38" t="s">
        <v>93</v>
      </c>
      <c r="G5" s="38" t="s">
        <v>94</v>
      </c>
      <c r="H5" s="38" t="s">
        <v>95</v>
      </c>
      <c r="I5" s="39" t="s">
        <v>96</v>
      </c>
    </row>
    <row r="6" spans="1:9" s="68" customFormat="1" ht="15" x14ac:dyDescent="0.2">
      <c r="A6" s="170" t="s">
        <v>50</v>
      </c>
      <c r="B6" s="143" t="s">
        <v>81</v>
      </c>
      <c r="C6" s="144"/>
      <c r="D6" s="145">
        <f>SUM(D11)</f>
        <v>1283000</v>
      </c>
      <c r="E6" s="145">
        <f>SUM(E11)</f>
        <v>-880501.71</v>
      </c>
      <c r="F6" s="145">
        <f>SUM(F11)</f>
        <v>0</v>
      </c>
      <c r="G6" s="145">
        <f>SUM(G11)</f>
        <v>0</v>
      </c>
      <c r="H6" s="95">
        <f t="shared" ref="H6:H14" si="0">SUM(E6:G6)</f>
        <v>-880501.71</v>
      </c>
      <c r="I6" s="95">
        <f t="shared" ref="I6:I11" si="1">SUM(D6-H6)</f>
        <v>2163501.71</v>
      </c>
    </row>
    <row r="7" spans="1:9" s="68" customFormat="1" ht="15" x14ac:dyDescent="0.2">
      <c r="A7" s="146" t="s">
        <v>97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98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99</v>
      </c>
      <c r="B10" s="147" t="s">
        <v>100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134</v>
      </c>
      <c r="D11" s="49">
        <f>SUM(D12-D13)</f>
        <v>1283000</v>
      </c>
      <c r="E11" s="49">
        <f>SUM(E12-E13)</f>
        <v>-880501.71</v>
      </c>
      <c r="F11" s="49">
        <f>SUM(F12-F13)</f>
        <v>0</v>
      </c>
      <c r="G11" s="49">
        <f>SUM(G12-G13)</f>
        <v>0</v>
      </c>
      <c r="H11" s="49">
        <f t="shared" si="0"/>
        <v>-880501.71</v>
      </c>
      <c r="I11" s="49">
        <f t="shared" si="1"/>
        <v>2163501.71</v>
      </c>
    </row>
    <row r="12" spans="1:9" s="68" customFormat="1" ht="15" x14ac:dyDescent="0.2">
      <c r="A12" s="3" t="s">
        <v>52</v>
      </c>
      <c r="B12" s="4"/>
      <c r="C12" s="7"/>
      <c r="D12" s="85">
        <v>1283188.1499999999</v>
      </c>
      <c r="E12" s="85">
        <v>1283188.1499999999</v>
      </c>
      <c r="F12" s="85"/>
      <c r="G12" s="85"/>
      <c r="H12" s="84">
        <f t="shared" si="0"/>
        <v>1283188.1499999999</v>
      </c>
      <c r="I12" s="84"/>
    </row>
    <row r="13" spans="1:9" s="68" customFormat="1" ht="15" x14ac:dyDescent="0.2">
      <c r="A13" s="3" t="s">
        <v>101</v>
      </c>
      <c r="B13" s="4"/>
      <c r="C13" s="7"/>
      <c r="D13" s="85">
        <v>188.15</v>
      </c>
      <c r="E13" s="85">
        <f>1283188.15+880501.71</f>
        <v>2163689.86</v>
      </c>
      <c r="F13" s="85"/>
      <c r="G13" s="85"/>
      <c r="H13" s="84">
        <f t="shared" si="0"/>
        <v>2163689.86</v>
      </c>
      <c r="I13" s="84"/>
    </row>
    <row r="14" spans="1:9" s="68" customFormat="1" ht="15" x14ac:dyDescent="0.2">
      <c r="A14" s="3" t="s">
        <v>102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332</v>
      </c>
      <c r="B17" s="206"/>
      <c r="C17" s="205" t="s">
        <v>333</v>
      </c>
      <c r="D17" s="206"/>
      <c r="E17" s="213"/>
      <c r="F17" s="213"/>
      <c r="G17" s="213"/>
      <c r="H17" s="213"/>
      <c r="I17" s="220"/>
    </row>
    <row r="18" spans="1:9" x14ac:dyDescent="0.2">
      <c r="A18" s="293" t="s">
        <v>216</v>
      </c>
      <c r="B18" s="293"/>
      <c r="C18" s="204" t="s">
        <v>213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214</v>
      </c>
      <c r="B20" s="209"/>
      <c r="C20" s="211" t="s">
        <v>272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215</v>
      </c>
      <c r="B21" s="22"/>
      <c r="C21" s="204" t="s">
        <v>213</v>
      </c>
      <c r="D21" s="33" t="s">
        <v>280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85"/>
      <c r="E22" s="285"/>
      <c r="F22" s="285"/>
      <c r="G22" s="285"/>
      <c r="H22" s="285"/>
      <c r="I22" s="285"/>
    </row>
    <row r="23" spans="1:9" ht="15" x14ac:dyDescent="0.2">
      <c r="A23" s="227" t="s">
        <v>337</v>
      </c>
      <c r="B23" s="24"/>
      <c r="C23" s="286"/>
      <c r="D23" s="286"/>
      <c r="E23" s="286"/>
      <c r="F23" s="286"/>
      <c r="G23" s="286"/>
      <c r="H23" s="286"/>
      <c r="I23" s="286"/>
    </row>
    <row r="24" spans="1:9" x14ac:dyDescent="0.2">
      <c r="A24" s="24"/>
      <c r="B24" s="24"/>
      <c r="C24" s="214"/>
      <c r="D24" s="286"/>
      <c r="E24" s="286"/>
      <c r="F24" s="286"/>
      <c r="G24" s="286"/>
      <c r="H24" s="286"/>
      <c r="I24" s="286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A1:C1"/>
    <mergeCell ref="A18:B18"/>
    <mergeCell ref="B3:B4"/>
    <mergeCell ref="A3:A4"/>
    <mergeCell ref="I3:I4"/>
    <mergeCell ref="D22:I22"/>
    <mergeCell ref="D24:I24"/>
    <mergeCell ref="C23:I23"/>
    <mergeCell ref="D3:D4"/>
    <mergeCell ref="E3:H3"/>
    <mergeCell ref="C3:C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2014-08-04T07:29:12Z</cp:lastPrinted>
  <dcterms:created xsi:type="dcterms:W3CDTF">2008-04-03T05:22:18Z</dcterms:created>
  <dcterms:modified xsi:type="dcterms:W3CDTF">2014-08-04T11:18:16Z</dcterms:modified>
</cp:coreProperties>
</file>